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封面" sheetId="11" r:id="rId1"/>
    <sheet name="DCF估值结果 " sheetId="10" r:id="rId2"/>
    <sheet name="业务模型" sheetId="4" r:id="rId3"/>
    <sheet name="BS假设" sheetId="5" r:id="rId4"/>
    <sheet name="资本开支假设" sheetId="8" r:id="rId5"/>
    <sheet name="IS" sheetId="1" r:id="rId6"/>
    <sheet name="BS" sheetId="2" r:id="rId7"/>
    <sheet name="CS" sheetId="3" r:id="rId8"/>
    <sheet name="DCF估值" sheetId="9" r:id="rId9"/>
  </sheets>
  <externalReferences>
    <externalReference r:id="rId10"/>
    <externalReference r:id="rId11"/>
    <externalReference r:id="rId12"/>
  </externalReferences>
  <definedNames>
    <definedName name="g">[1]DCF!$F$38</definedName>
    <definedName name="WACC">[1]DCF!$F$19</definedName>
    <definedName name="使用说明">#REF!</definedName>
    <definedName name="一使用说明">#REF!</definedName>
  </definedNames>
  <calcPr calcId="144525"/>
</workbook>
</file>

<file path=xl/comments1.xml><?xml version="1.0" encoding="utf-8"?>
<comments xmlns="http://schemas.openxmlformats.org/spreadsheetml/2006/main">
  <authors>
    <author>sl</author>
  </authors>
  <commentList>
    <comment ref="D28" authorId="0">
      <text>
        <r>
          <rPr>
            <b/>
            <sz val="9"/>
            <rFont val="宋体"/>
            <charset val="134"/>
          </rPr>
          <t>sl:</t>
        </r>
        <r>
          <rPr>
            <sz val="9"/>
            <rFont val="宋体"/>
            <charset val="134"/>
          </rPr>
          <t xml:space="preserve">
债权资本占比</t>
        </r>
      </text>
    </comment>
  </commentList>
</comments>
</file>

<file path=xl/sharedStrings.xml><?xml version="1.0" encoding="utf-8"?>
<sst xmlns="http://schemas.openxmlformats.org/spreadsheetml/2006/main" count="280" uniqueCount="236">
  <si>
    <t>地素时尚估值模型</t>
  </si>
  <si>
    <t>建模机构：</t>
  </si>
  <si>
    <t>格隆汇研究院</t>
  </si>
  <si>
    <t>建模标的：</t>
  </si>
  <si>
    <t>地素时尚</t>
  </si>
  <si>
    <t>建模日期：</t>
  </si>
  <si>
    <t>证券代码：</t>
  </si>
  <si>
    <t>建模人员：</t>
  </si>
  <si>
    <t>大胖龙</t>
  </si>
  <si>
    <t>行业：</t>
  </si>
  <si>
    <t>奢侈品-高端女装</t>
  </si>
  <si>
    <t>估值结果（元/股）：</t>
  </si>
  <si>
    <t>现价（元/股）：</t>
  </si>
  <si>
    <t>企业价值(百万元）：</t>
  </si>
  <si>
    <t>溢价率：</t>
  </si>
  <si>
    <t>本模型有效期：</t>
  </si>
  <si>
    <t>2020/01/16-2020/12/31</t>
  </si>
  <si>
    <t>本模型适应人员：</t>
  </si>
  <si>
    <t>基金经理、权益投资机构、高净值价值投资者</t>
  </si>
  <si>
    <t>免责声明</t>
  </si>
  <si>
    <t>本文的信息来源于已公开资料，本人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</si>
  <si>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地素时尚DCF估值结果</t>
  </si>
  <si>
    <t>估值参数</t>
  </si>
  <si>
    <t>估值结果</t>
  </si>
  <si>
    <t>敏感性分析</t>
  </si>
  <si>
    <t>企业价值总计（亿元）</t>
  </si>
  <si>
    <t>WACC/G</t>
  </si>
  <si>
    <t>减：净负债（亿元）</t>
  </si>
  <si>
    <t>减：少数股东权益（亿元）</t>
  </si>
  <si>
    <t>归母股东股权价值合计（亿元）</t>
  </si>
  <si>
    <t>股本(亿股）</t>
  </si>
  <si>
    <t>每股股权价值</t>
  </si>
  <si>
    <t>当前股价（元/股)</t>
  </si>
  <si>
    <t>地素时尚经营业务模型：单位：亿元</t>
  </si>
  <si>
    <t>营业总收入</t>
  </si>
  <si>
    <t>收入yoy</t>
  </si>
  <si>
    <t>　　　　　　DA</t>
  </si>
  <si>
    <t>yoy</t>
  </si>
  <si>
    <t>8%</t>
  </si>
  <si>
    <t>　　　　　　DZ</t>
  </si>
  <si>
    <t>　　　　　　DM</t>
  </si>
  <si>
    <t>1.40</t>
  </si>
  <si>
    <t>　　　　　　RAZZLE</t>
  </si>
  <si>
    <t>营业成本</t>
  </si>
  <si>
    <t>毛利额（亿元）</t>
  </si>
  <si>
    <t>毛利</t>
  </si>
  <si>
    <t>毛利率：</t>
  </si>
  <si>
    <t>毛利率(%)</t>
  </si>
  <si>
    <t>经营性流动资产科目</t>
  </si>
  <si>
    <t>应收账款周转率</t>
  </si>
  <si>
    <t>预付款周转率</t>
  </si>
  <si>
    <t>其他应收款周转率</t>
  </si>
  <si>
    <t>存货周转率</t>
  </si>
  <si>
    <t>经营性流动负债科目</t>
  </si>
  <si>
    <t>　　应付账款周转率</t>
  </si>
  <si>
    <t>　　预收款项周转率</t>
  </si>
  <si>
    <t>　　应付职工薪酬周转率</t>
  </si>
  <si>
    <t>　　应交税费周转率</t>
  </si>
  <si>
    <t>　　　　其他应付款周转率</t>
  </si>
  <si>
    <t>　　其他流动负债周转率</t>
  </si>
  <si>
    <t>长期待摊费用周转率</t>
  </si>
  <si>
    <t>递延所得税资产周转率</t>
  </si>
  <si>
    <t>固定资产新增</t>
  </si>
  <si>
    <t>在建工程新增</t>
  </si>
  <si>
    <t>长期股权新增</t>
  </si>
  <si>
    <t>无形资产新增</t>
  </si>
  <si>
    <t>资本开支</t>
  </si>
  <si>
    <t>非流动资产科目</t>
  </si>
  <si>
    <t>　　长期股权投资</t>
  </si>
  <si>
    <t>固定资产期初余额</t>
  </si>
  <si>
    <t>折旧</t>
  </si>
  <si>
    <t>计提比例</t>
  </si>
  <si>
    <t>固定资产期末余额</t>
  </si>
  <si>
    <t>在建工程期初余额</t>
  </si>
  <si>
    <t>在建工程期末余额</t>
  </si>
  <si>
    <t>无形资产期初余额</t>
  </si>
  <si>
    <t>摊销额</t>
  </si>
  <si>
    <t>摊销比例</t>
  </si>
  <si>
    <t>无形资产期末余额</t>
  </si>
  <si>
    <t>假设条件</t>
  </si>
  <si>
    <t>税金及附加</t>
  </si>
  <si>
    <t>销售费率</t>
  </si>
  <si>
    <t>管理费率</t>
  </si>
  <si>
    <t>研发费率</t>
  </si>
  <si>
    <t>财务费率</t>
  </si>
  <si>
    <t>所得税税率</t>
  </si>
  <si>
    <t>营业总成本</t>
  </si>
  <si>
    <t>　　营业成本</t>
  </si>
  <si>
    <t>　　税金及附加</t>
  </si>
  <si>
    <t>　　销售费用</t>
  </si>
  <si>
    <t>　　管理费用</t>
  </si>
  <si>
    <t>　　研发费用</t>
  </si>
  <si>
    <t>　　财务费用</t>
  </si>
  <si>
    <t>　　　　其中：利息费用</t>
  </si>
  <si>
    <t>　　　　　　　减：利息收入</t>
  </si>
  <si>
    <t>　　加：其他收益</t>
  </si>
  <si>
    <t>　　投资净收益</t>
  </si>
  <si>
    <t>　　资产减值损失</t>
  </si>
  <si>
    <t>　　信用减值损失</t>
  </si>
  <si>
    <t>　　资产处置收益</t>
  </si>
  <si>
    <t>营业利润</t>
  </si>
  <si>
    <t>　　加：营业外收入</t>
  </si>
  <si>
    <t>　　减：营业外支出</t>
  </si>
  <si>
    <t>利润总额</t>
  </si>
  <si>
    <t>　　减：所得税</t>
  </si>
  <si>
    <t>净利润</t>
  </si>
  <si>
    <t>　　减：少数股东损益</t>
  </si>
  <si>
    <t>　　归属于母公司所有者的净利润</t>
  </si>
  <si>
    <t>每股收益：</t>
  </si>
  <si>
    <t>　　基本每股收益</t>
  </si>
  <si>
    <t>股利分配</t>
  </si>
  <si>
    <t>单位 : 亿元 , CNY</t>
  </si>
  <si>
    <t>数据来源：Wind</t>
  </si>
  <si>
    <t>流动资产：</t>
  </si>
  <si>
    <t>　　货币资金</t>
  </si>
  <si>
    <t>　　交易性金融资产</t>
  </si>
  <si>
    <t>　　应收票据</t>
  </si>
  <si>
    <t>　　应收账款</t>
  </si>
  <si>
    <t>　　预付款项</t>
  </si>
  <si>
    <t>　　其他应收款(合计)</t>
  </si>
  <si>
    <t>　　存货</t>
  </si>
  <si>
    <t>　　其他流动资产</t>
  </si>
  <si>
    <t>　　流动资产合计</t>
  </si>
  <si>
    <t>非流动资产：</t>
  </si>
  <si>
    <t>　　固定资产</t>
  </si>
  <si>
    <t>　　　　在建工程</t>
  </si>
  <si>
    <t>　　无形资产</t>
  </si>
  <si>
    <t>　　长期待摊费用</t>
  </si>
  <si>
    <t>　　递延所得税资产</t>
  </si>
  <si>
    <t>　　非流动资产合计</t>
  </si>
  <si>
    <t>资产总计</t>
  </si>
  <si>
    <t>流动负债：</t>
  </si>
  <si>
    <t>　　短期借款</t>
  </si>
  <si>
    <t>　　应付票据</t>
  </si>
  <si>
    <t>　　应付账款</t>
  </si>
  <si>
    <t>　　预收款项</t>
  </si>
  <si>
    <t>　　应付职工薪酬</t>
  </si>
  <si>
    <t>　　应交税费</t>
  </si>
  <si>
    <t>　　　　其他应付款</t>
  </si>
  <si>
    <t>　　其他流动负债</t>
  </si>
  <si>
    <t>　　流动负债合计</t>
  </si>
  <si>
    <t>非流动负债：</t>
  </si>
  <si>
    <t>　　长期借款</t>
  </si>
  <si>
    <t>　　应付债券</t>
  </si>
  <si>
    <t>　　递延所得税负债</t>
  </si>
  <si>
    <t>　　递延收益-非流动负债</t>
  </si>
  <si>
    <t>　　非流动负债合计</t>
  </si>
  <si>
    <t>　　负债合计</t>
  </si>
  <si>
    <t>所有者权益(或股东权益)：</t>
  </si>
  <si>
    <t>　　实收资本(或股本)</t>
  </si>
  <si>
    <t>　　资本公积金</t>
  </si>
  <si>
    <t>　　减：库存股</t>
  </si>
  <si>
    <t>　　其它综合收益</t>
  </si>
  <si>
    <t>　　专项储备</t>
  </si>
  <si>
    <t>　　盈余公积金</t>
  </si>
  <si>
    <t>　　一般风险准备</t>
  </si>
  <si>
    <t>　　未分配利润</t>
  </si>
  <si>
    <t>　　归属于母公司所有者权益合计</t>
  </si>
  <si>
    <t>　　少数股东权益</t>
  </si>
  <si>
    <t>　　所有者权益合计</t>
  </si>
  <si>
    <t>负债和所有者权益总计</t>
  </si>
  <si>
    <t>经营活动产生的现金流量：</t>
  </si>
  <si>
    <t>　　净利润</t>
  </si>
  <si>
    <t>　　加：资产减值准备</t>
  </si>
  <si>
    <t>　　　　固定资产折旧、油气资产折耗、生产性生物资产折旧</t>
  </si>
  <si>
    <t>　　　　无形资产摊销</t>
  </si>
  <si>
    <t>　　　　长期待摊费用摊销</t>
  </si>
  <si>
    <t>　　　　财务费用</t>
  </si>
  <si>
    <t>　　　　投资损失</t>
  </si>
  <si>
    <t>　　　　递延所得税资产减少</t>
  </si>
  <si>
    <t>　　　　递延所得税负债增加</t>
  </si>
  <si>
    <t>　　　　存货的减少</t>
  </si>
  <si>
    <t>　　　　经营性应收项目的减少</t>
  </si>
  <si>
    <t>　　　　经营性应付项目的增加</t>
  </si>
  <si>
    <t>　　　　其他</t>
  </si>
  <si>
    <t>经营活动产生的现金流量净额</t>
  </si>
  <si>
    <t>投资活动产生的现金流量：</t>
  </si>
  <si>
    <t>　　收回投资收到的现金</t>
  </si>
  <si>
    <t>　　投资支付的现金</t>
  </si>
  <si>
    <t>　　取得投资收益收到的现金</t>
  </si>
  <si>
    <t>　　购建固定资产、无形资产和其他长期资产支付的现金</t>
  </si>
  <si>
    <t>　　投资活动产生的现金流量净额</t>
  </si>
  <si>
    <t>筹资活动产生的现金流量：</t>
  </si>
  <si>
    <t>　　吸收投资收到的现金</t>
  </si>
  <si>
    <t>　　取得借款收到的现金</t>
  </si>
  <si>
    <t>　　偿还债务支付的现金</t>
  </si>
  <si>
    <t>　　收到其他与筹资活动有关的现金</t>
  </si>
  <si>
    <t>　　发行债券收到的现金</t>
  </si>
  <si>
    <t>　　分配股利、利润或偿付利息支付的现金</t>
  </si>
  <si>
    <t>　　筹资活动产生的现金流量净额</t>
  </si>
  <si>
    <t>现金及现金等价物净增加额</t>
  </si>
  <si>
    <t>　　期初现金及现金等价物余额</t>
  </si>
  <si>
    <t>　　期末现金及现金等价物余额</t>
  </si>
  <si>
    <t>补充资料：</t>
  </si>
  <si>
    <t>　　　　信用减值损失</t>
  </si>
  <si>
    <t>　　　　使用权资产折旧</t>
  </si>
  <si>
    <t>　　　　待摊费用减少</t>
  </si>
  <si>
    <t>　　　　预提费用增加</t>
  </si>
  <si>
    <t>　　　　处置固定资产、无形资产和其他长期资产的损失</t>
  </si>
  <si>
    <t>　　　　固定资产报废损失</t>
  </si>
  <si>
    <t>　　　　公允价值变动损失</t>
  </si>
  <si>
    <t>　　　　未确认的投资损失</t>
  </si>
  <si>
    <t>　　间接法-经营活动产生的现金流量净额</t>
  </si>
  <si>
    <t>营运资本追加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</si>
  <si>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</si>
  <si>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</si>
  <si>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</si>
  <si>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</si>
  <si>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</si>
  <si>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</si>
  <si>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</si>
  <si>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</si>
  <si>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营运资本的增加</t>
  </si>
  <si>
    <t xml:space="preserve">    资本性支出</t>
  </si>
  <si>
    <t xml:space="preserve">企业自由现金流量 </t>
  </si>
  <si>
    <t>参数假设</t>
  </si>
  <si>
    <t>适用折现率：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</si>
  <si>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</si>
  <si>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</si>
  <si>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</si>
  <si>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</si>
  <si>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</si>
  <si>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</si>
  <si>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目标资本结构</t>
  </si>
  <si>
    <t>现值测算</t>
  </si>
  <si>
    <t>折现系数</t>
  </si>
  <si>
    <t>企业自由现金流量现值</t>
  </si>
  <si>
    <t>预测期企业自由现金流量现值合计</t>
  </si>
  <si>
    <t>永续期企业自由现金流量现值合计</t>
  </si>
  <si>
    <t>企业价值总计</t>
  </si>
  <si>
    <t>减：净负债</t>
  </si>
  <si>
    <t>减：少数股东损益</t>
  </si>
  <si>
    <t>美元</t>
  </si>
  <si>
    <t>归母股东股权价值合计（百万人民币）</t>
  </si>
  <si>
    <t>每股价值</t>
  </si>
  <si>
    <t>WACC/g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</si>
</sst>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.0%"/>
    <numFmt numFmtId="179" formatCode="0_ "/>
    <numFmt numFmtId="180" formatCode="0.0000_ "/>
    <numFmt numFmtId="181" formatCode="#,##0.00_ "/>
    <numFmt numFmtId="182" formatCode="#,##0.0000_ "/>
    <numFmt numFmtId="183" formatCode="#,##0.0_ "/>
  </numFmts>
  <fonts count="34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  <scheme val="minor"/>
    </font>
    <font>
      <b/>
      <sz val="11"/>
      <name val="楷体"/>
      <charset val="134"/>
    </font>
    <font>
      <b/>
      <sz val="12"/>
      <name val="楷体"/>
      <charset val="134"/>
    </font>
    <font>
      <sz val="11"/>
      <name val="楷体"/>
      <charset val="134"/>
    </font>
    <font>
      <sz val="12"/>
      <name val="楷体"/>
      <charset val="134"/>
    </font>
    <font>
      <sz val="12"/>
      <color indexed="10"/>
      <name val="楷体"/>
      <charset val="134"/>
    </font>
    <font>
      <sz val="16"/>
      <color theme="1"/>
      <name val="楷体"/>
      <charset val="134"/>
    </font>
    <font>
      <sz val="14"/>
      <color theme="1"/>
      <name val="楷体"/>
      <charset val="134"/>
    </font>
    <font>
      <b/>
      <i/>
      <sz val="14"/>
      <color rgb="FFFF0000"/>
      <name val="楷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8" borderId="19" applyNumberFormat="0" applyAlignment="0" applyProtection="0">
      <alignment vertical="center"/>
    </xf>
    <xf numFmtId="0" fontId="25" fillId="28" borderId="16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11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0" fontId="2" fillId="0" borderId="0" xfId="1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3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vertical="center"/>
    </xf>
    <xf numFmtId="178" fontId="7" fillId="4" borderId="0" xfId="11" applyNumberFormat="1" applyFont="1" applyFill="1" applyBorder="1" applyAlignment="1">
      <alignment horizontal="center" vertical="center"/>
    </xf>
    <xf numFmtId="10" fontId="6" fillId="5" borderId="0" xfId="0" applyNumberFormat="1" applyFont="1" applyFill="1" applyBorder="1" applyAlignment="1">
      <alignment horizontal="center" vertical="center"/>
    </xf>
    <xf numFmtId="176" fontId="7" fillId="0" borderId="0" xfId="8" applyNumberFormat="1" applyFont="1" applyFill="1" applyBorder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>
      <alignment vertical="center"/>
    </xf>
    <xf numFmtId="49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81" fontId="2" fillId="0" borderId="0" xfId="0" applyNumberFormat="1" applyFont="1" applyAlignment="1">
      <alignment horizontal="center" vertical="top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81" fontId="2" fillId="6" borderId="0" xfId="0" applyNumberFormat="1" applyFont="1" applyFill="1" applyAlignment="1">
      <alignment horizontal="center" vertical="top"/>
    </xf>
    <xf numFmtId="183" fontId="2" fillId="0" borderId="0" xfId="0" applyNumberFormat="1" applyFont="1" applyAlignment="1">
      <alignment horizontal="center" vertical="top"/>
    </xf>
    <xf numFmtId="183" fontId="2" fillId="6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0" fontId="2" fillId="7" borderId="0" xfId="0" applyFont="1" applyFill="1" applyAlignment="1">
      <alignment horizontal="center" vertical="center"/>
    </xf>
    <xf numFmtId="181" fontId="2" fillId="7" borderId="0" xfId="0" applyNumberFormat="1" applyFont="1" applyFill="1" applyAlignment="1">
      <alignment horizontal="center" vertical="top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6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top"/>
    </xf>
    <xf numFmtId="178" fontId="2" fillId="0" borderId="0" xfId="11" applyNumberFormat="1" applyFont="1" applyAlignment="1">
      <alignment horizontal="center" vertical="center"/>
    </xf>
    <xf numFmtId="9" fontId="2" fillId="0" borderId="0" xfId="11" applyFont="1" applyAlignment="1">
      <alignment horizontal="center" vertical="center"/>
    </xf>
    <xf numFmtId="182" fontId="2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11" applyNumberFormat="1" applyFont="1" applyAlignment="1">
      <alignment horizontal="center" vertical="center"/>
    </xf>
    <xf numFmtId="176" fontId="2" fillId="6" borderId="0" xfId="0" applyNumberFormat="1" applyFont="1" applyFill="1" applyAlignment="1">
      <alignment horizontal="center" vertical="center"/>
    </xf>
    <xf numFmtId="0" fontId="0" fillId="6" borderId="0" xfId="0" applyFill="1">
      <alignment vertical="center"/>
    </xf>
    <xf numFmtId="0" fontId="2" fillId="7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8" fontId="1" fillId="0" borderId="0" xfId="11" applyNumberFormat="1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9" fontId="2" fillId="0" borderId="7" xfId="1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2" borderId="0" xfId="0" applyNumberFormat="1" applyFont="1" applyFill="1" applyAlignment="1">
      <alignment horizontal="center" vertical="top"/>
    </xf>
    <xf numFmtId="9" fontId="2" fillId="0" borderId="0" xfId="11" applyFont="1" applyAlignment="1">
      <alignment horizontal="center" vertical="top"/>
    </xf>
    <xf numFmtId="178" fontId="0" fillId="0" borderId="0" xfId="11" applyNumberFormat="1" applyAlignment="1">
      <alignment horizontal="center" vertical="center"/>
    </xf>
    <xf numFmtId="178" fontId="2" fillId="0" borderId="0" xfId="11" applyNumberFormat="1" applyFont="1" applyAlignment="1">
      <alignment horizontal="center" vertical="top"/>
    </xf>
    <xf numFmtId="176" fontId="2" fillId="3" borderId="0" xfId="0" applyNumberFormat="1" applyFont="1" applyFill="1" applyAlignment="1">
      <alignment horizontal="center" vertical="center"/>
    </xf>
    <xf numFmtId="178" fontId="2" fillId="0" borderId="0" xfId="11" applyNumberFormat="1" applyFont="1" applyFill="1" applyAlignment="1">
      <alignment horizontal="center" vertical="center"/>
    </xf>
    <xf numFmtId="178" fontId="2" fillId="3" borderId="0" xfId="11" applyNumberFormat="1" applyFont="1" applyFill="1" applyAlignment="1">
      <alignment horizontal="center" vertical="center"/>
    </xf>
    <xf numFmtId="49" fontId="2" fillId="6" borderId="0" xfId="0" applyNumberFormat="1" applyFont="1" applyFill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0" fillId="0" borderId="0" xfId="0" applyFill="1">
      <alignment vertical="center"/>
    </xf>
    <xf numFmtId="0" fontId="10" fillId="8" borderId="9" xfId="0" applyNumberFormat="1" applyFont="1" applyFill="1" applyBorder="1" applyAlignment="1">
      <alignment horizontal="center" vertical="center"/>
    </xf>
    <xf numFmtId="0" fontId="10" fillId="8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8" borderId="2" xfId="0" applyNumberFormat="1" applyFont="1" applyFill="1" applyBorder="1" applyAlignment="1">
      <alignment horizontal="center" vertical="center"/>
    </xf>
    <xf numFmtId="0" fontId="10" fillId="8" borderId="6" xfId="0" applyNumberFormat="1" applyFont="1" applyFill="1" applyBorder="1" applyAlignment="1">
      <alignment horizontal="center" vertical="center"/>
    </xf>
    <xf numFmtId="0" fontId="10" fillId="0" borderId="0" xfId="0" applyNumberFormat="1" applyFont="1">
      <alignment vertical="center"/>
    </xf>
    <xf numFmtId="0" fontId="10" fillId="0" borderId="3" xfId="0" applyNumberFormat="1" applyFont="1" applyBorder="1">
      <alignment vertical="center"/>
    </xf>
    <xf numFmtId="10" fontId="10" fillId="0" borderId="0" xfId="0" applyNumberFormat="1" applyFont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0" fontId="10" fillId="0" borderId="4" xfId="0" applyNumberFormat="1" applyFont="1" applyBorder="1">
      <alignment vertical="center"/>
    </xf>
    <xf numFmtId="10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>
      <alignment vertical="center"/>
    </xf>
    <xf numFmtId="10" fontId="10" fillId="0" borderId="8" xfId="0" applyNumberFormat="1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176" fontId="10" fillId="2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176" fontId="10" fillId="0" borderId="0" xfId="0" applyNumberFormat="1" applyFont="1" applyAlignment="1">
      <alignment horizontal="center" vertical="center"/>
    </xf>
    <xf numFmtId="178" fontId="10" fillId="5" borderId="0" xfId="11" applyNumberFormat="1" applyFont="1" applyFill="1" applyAlignment="1">
      <alignment horizontal="center" vertical="center"/>
    </xf>
    <xf numFmtId="176" fontId="10" fillId="5" borderId="0" xfId="11" applyNumberFormat="1" applyFont="1" applyFill="1" applyAlignment="1">
      <alignment horizontal="center" vertical="center"/>
    </xf>
    <xf numFmtId="176" fontId="11" fillId="5" borderId="0" xfId="11" applyNumberFormat="1" applyFont="1" applyFill="1" applyAlignment="1">
      <alignment horizontal="center" vertical="center"/>
    </xf>
    <xf numFmtId="0" fontId="10" fillId="8" borderId="4" xfId="0" applyFont="1" applyFill="1" applyBorder="1">
      <alignment vertical="center"/>
    </xf>
    <xf numFmtId="176" fontId="10" fillId="8" borderId="5" xfId="0" applyNumberFormat="1" applyFont="1" applyFill="1" applyBorder="1" applyAlignment="1">
      <alignment horizontal="center" vertical="center"/>
    </xf>
    <xf numFmtId="0" fontId="10" fillId="8" borderId="11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4" borderId="2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2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5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12" fillId="4" borderId="0" xfId="0" applyFont="1" applyFill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10" fontId="12" fillId="4" borderId="5" xfId="11" applyNumberFormat="1" applyFont="1" applyFill="1" applyBorder="1">
      <alignment vertical="center"/>
    </xf>
    <xf numFmtId="0" fontId="10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12" fillId="4" borderId="6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6032;&#28010;&#36130;&#36947;H\&#20844;&#21496;\&#28207;&#32929;\&#38134;&#22825;&#19979;\&#30005;&#21147;&#20844;&#21496;&#36130;&#21153;&#39044;&#27979;&#19982;&#20272;&#20540;&#27169;&#22411;-&#31572;&#26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6164;\&#30693;&#35782;&#20184;&#36153;&#20107;&#19994;&#37096;\&#20184;&#36153;&#39033;&#30446;\&#20010;&#32929;&#30740;&#31350;\&#31185;&#22823;&#35759;&#39134;\&#31185;&#22823;&#35759;&#39134;&#36130;&#21153;&#20272;&#20540;&#27169;&#22411;20199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6164;\&#30693;&#35782;&#20184;&#36153;&#20107;&#19994;&#37096;\&#20184;&#36153;&#39033;&#30446;\&#20010;&#32929;&#30740;&#31350;\&#38476;&#38476;\&#21246;&#32929;&#22823;&#25968;&#25454;-&#38476;&#38476;&#20272;&#20540;&#27169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DCF估值结果"/>
      <sheetName val="经营业绩"/>
      <sheetName val="利润表预测"/>
      <sheetName val="利润表费率假设"/>
      <sheetName val="开放及消费者服务"/>
      <sheetName val="智慧城市"/>
      <sheetName val="智慧教育"/>
      <sheetName val="智慧政法"/>
      <sheetName val="智慧医疗"/>
      <sheetName val="智能汽车智能服务"/>
      <sheetName val="资产负债表假设"/>
      <sheetName val="基础资产负债表"/>
      <sheetName val="现金流量表"/>
      <sheetName val="资产负债表预测"/>
      <sheetName val="IS"/>
      <sheetName val="BS"/>
      <sheetName val="CS"/>
      <sheetName val="DCF估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适用折现率：</v>
          </cell>
        </row>
        <row r="21">
          <cell r="C21" t="str">
            <v>永续增长率g</v>
          </cell>
        </row>
        <row r="22">
          <cell r="C22" t="str">
            <v>税后债务成本率</v>
          </cell>
        </row>
        <row r="23">
          <cell r="C23" t="str">
            <v>股权成本率</v>
          </cell>
        </row>
        <row r="24">
          <cell r="C24" t="str">
            <v>无风险报酬率</v>
          </cell>
        </row>
        <row r="25">
          <cell r="C25" t="str">
            <v>风险补偿率</v>
          </cell>
        </row>
        <row r="26">
          <cell r="C26" t="str">
            <v>贝塔系数</v>
          </cell>
        </row>
        <row r="27">
          <cell r="C27" t="str">
            <v>目标资本结构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DCF估值结果 "/>
      <sheetName val="用户数据"/>
      <sheetName val="利润表单季度"/>
      <sheetName val="经营业务"/>
      <sheetName val="资产负债表假设"/>
      <sheetName val="资本开支假设"/>
      <sheetName val="IS"/>
      <sheetName val="BS"/>
      <sheetName val="CS"/>
      <sheetName val="DCF估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workbookViewId="0">
      <selection activeCell="M16" sqref="M16"/>
    </sheetView>
  </sheetViews>
  <sheetFormatPr defaultColWidth="9" defaultRowHeight="13.5"/>
  <cols>
    <col min="3" max="3" width="28.5" style="1" customWidth="1"/>
    <col min="4" max="4" width="30.125" customWidth="1"/>
    <col min="5" max="5" width="18.25" customWidth="1"/>
    <col min="6" max="6" width="13.75" customWidth="1"/>
    <col min="7" max="7" width="12.875" customWidth="1"/>
    <col min="8" max="8" width="13.75"/>
  </cols>
  <sheetData>
    <row r="1" ht="20" customHeight="1" spans="1:17">
      <c r="A1" s="125"/>
      <c r="B1" s="125"/>
      <c r="C1" s="126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ht="20" customHeight="1" spans="1:17">
      <c r="A2" s="125"/>
      <c r="B2" s="125"/>
      <c r="C2" s="126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ht="28" customHeight="1" spans="1:17">
      <c r="A3" s="125"/>
      <c r="B3" s="125"/>
      <c r="C3" s="127" t="s">
        <v>0</v>
      </c>
      <c r="D3" s="128"/>
      <c r="E3" s="128"/>
      <c r="F3" s="128"/>
      <c r="G3" s="128"/>
      <c r="H3" s="128"/>
      <c r="I3" s="128"/>
      <c r="J3" s="151"/>
      <c r="K3" s="125"/>
      <c r="L3" s="125"/>
      <c r="M3" s="125"/>
      <c r="N3" s="125"/>
      <c r="O3" s="125"/>
      <c r="P3" s="125"/>
      <c r="Q3" s="125"/>
    </row>
    <row r="4" ht="20" customHeight="1" spans="1:17">
      <c r="A4" s="125"/>
      <c r="B4" s="125"/>
      <c r="C4" s="1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ht="20" customHeight="1" spans="1:17">
      <c r="A5" s="125"/>
      <c r="B5" s="125"/>
      <c r="C5" s="129" t="s">
        <v>1</v>
      </c>
      <c r="D5" s="130" t="s">
        <v>2</v>
      </c>
      <c r="E5" s="131"/>
      <c r="F5" s="130" t="s">
        <v>3</v>
      </c>
      <c r="G5" s="132" t="s">
        <v>4</v>
      </c>
      <c r="H5" s="131"/>
      <c r="I5" s="131"/>
      <c r="J5" s="152"/>
      <c r="K5" s="125"/>
      <c r="L5" s="125"/>
      <c r="M5" s="125"/>
      <c r="N5" s="125"/>
      <c r="O5" s="125"/>
      <c r="P5" s="125"/>
      <c r="Q5" s="125"/>
    </row>
    <row r="6" ht="20" customHeight="1" spans="1:17">
      <c r="A6" s="125"/>
      <c r="B6" s="125"/>
      <c r="C6" s="133" t="s">
        <v>5</v>
      </c>
      <c r="D6" s="134">
        <v>43805</v>
      </c>
      <c r="E6" s="135"/>
      <c r="F6" s="136" t="s">
        <v>6</v>
      </c>
      <c r="G6" s="137">
        <v>603587</v>
      </c>
      <c r="H6" s="135"/>
      <c r="I6" s="135"/>
      <c r="J6" s="153"/>
      <c r="K6" s="125"/>
      <c r="L6" s="125"/>
      <c r="M6" s="125"/>
      <c r="N6" s="125"/>
      <c r="O6" s="125"/>
      <c r="P6" s="125"/>
      <c r="Q6" s="125"/>
    </row>
    <row r="7" ht="20" customHeight="1" spans="1:17">
      <c r="A7" s="125"/>
      <c r="B7" s="125"/>
      <c r="C7" s="138" t="s">
        <v>7</v>
      </c>
      <c r="D7" s="139" t="s">
        <v>8</v>
      </c>
      <c r="E7" s="140"/>
      <c r="F7" s="139" t="s">
        <v>9</v>
      </c>
      <c r="G7" s="141" t="s">
        <v>10</v>
      </c>
      <c r="H7" s="140"/>
      <c r="I7" s="140"/>
      <c r="J7" s="154"/>
      <c r="K7" s="125"/>
      <c r="L7" s="125"/>
      <c r="M7" s="125"/>
      <c r="N7" s="125"/>
      <c r="O7" s="125"/>
      <c r="P7" s="125"/>
      <c r="Q7" s="125"/>
    </row>
    <row r="8" ht="20" customHeight="1" spans="1:17">
      <c r="A8" s="125"/>
      <c r="B8" s="125"/>
      <c r="C8" s="142"/>
      <c r="D8" s="135"/>
      <c r="E8" s="135"/>
      <c r="F8" s="135"/>
      <c r="G8" s="135"/>
      <c r="H8" s="135"/>
      <c r="I8" s="135"/>
      <c r="J8" s="135"/>
      <c r="K8" s="125"/>
      <c r="L8" s="125"/>
      <c r="M8" s="125"/>
      <c r="N8" s="125"/>
      <c r="O8" s="125"/>
      <c r="P8" s="125"/>
      <c r="Q8" s="125"/>
    </row>
    <row r="9" ht="20" customHeight="1" spans="1:17">
      <c r="A9" s="125"/>
      <c r="B9" s="125"/>
      <c r="C9" s="142"/>
      <c r="D9" s="135"/>
      <c r="E9" s="135"/>
      <c r="F9" s="135"/>
      <c r="G9" s="135"/>
      <c r="H9" s="135"/>
      <c r="I9" s="135"/>
      <c r="J9" s="135"/>
      <c r="K9" s="125"/>
      <c r="L9" s="125"/>
      <c r="M9" s="125"/>
      <c r="N9" s="125"/>
      <c r="O9" s="125"/>
      <c r="P9" s="125"/>
      <c r="Q9" s="125"/>
    </row>
    <row r="10" ht="20" customHeight="1" spans="1:17">
      <c r="A10" s="125"/>
      <c r="B10" s="125"/>
      <c r="C10" s="129" t="s">
        <v>11</v>
      </c>
      <c r="D10" s="143">
        <f>'DCF估值结果 '!C17</f>
        <v>48.3913042846981</v>
      </c>
      <c r="E10" s="131" t="s">
        <v>12</v>
      </c>
      <c r="F10" s="131">
        <v>27.63</v>
      </c>
      <c r="G10" s="131"/>
      <c r="H10" s="131"/>
      <c r="I10" s="131"/>
      <c r="J10" s="152"/>
      <c r="K10" s="125"/>
      <c r="L10" s="125"/>
      <c r="M10" s="125"/>
      <c r="N10" s="125"/>
      <c r="O10" s="125"/>
      <c r="P10" s="125"/>
      <c r="Q10" s="125"/>
    </row>
    <row r="11" ht="20" customHeight="1" spans="1:17">
      <c r="A11" s="125"/>
      <c r="B11" s="125"/>
      <c r="C11" s="138" t="s">
        <v>13</v>
      </c>
      <c r="D11" s="144">
        <f>'DCF估值结果 '!C15</f>
        <v>194.04913018164</v>
      </c>
      <c r="E11" s="140" t="s">
        <v>14</v>
      </c>
      <c r="F11" s="145">
        <f>(D10-F10)/F10</f>
        <v>0.751404425794359</v>
      </c>
      <c r="G11" s="140"/>
      <c r="H11" s="140"/>
      <c r="I11" s="140"/>
      <c r="J11" s="154"/>
      <c r="K11" s="125"/>
      <c r="L11" s="125"/>
      <c r="M11" s="125"/>
      <c r="N11" s="125"/>
      <c r="O11" s="125"/>
      <c r="P11" s="125"/>
      <c r="Q11" s="125"/>
    </row>
    <row r="12" ht="20" customHeight="1" spans="1:17">
      <c r="A12" s="125"/>
      <c r="B12" s="125"/>
      <c r="C12" s="142"/>
      <c r="D12" s="135"/>
      <c r="E12" s="135"/>
      <c r="F12" s="135"/>
      <c r="G12" s="135"/>
      <c r="H12" s="135"/>
      <c r="I12" s="135"/>
      <c r="J12" s="135"/>
      <c r="K12" s="125"/>
      <c r="L12" s="125"/>
      <c r="M12" s="125"/>
      <c r="N12" s="125"/>
      <c r="O12" s="125"/>
      <c r="P12" s="125"/>
      <c r="Q12" s="125"/>
    </row>
    <row r="13" ht="20" customHeight="1" spans="1:17">
      <c r="A13" s="125"/>
      <c r="B13" s="125"/>
      <c r="C13" s="129" t="s">
        <v>15</v>
      </c>
      <c r="D13" s="132" t="s">
        <v>16</v>
      </c>
      <c r="E13" s="131"/>
      <c r="F13" s="131"/>
      <c r="G13" s="131"/>
      <c r="H13" s="131"/>
      <c r="I13" s="131"/>
      <c r="J13" s="152"/>
      <c r="K13" s="125"/>
      <c r="L13" s="125"/>
      <c r="M13" s="125"/>
      <c r="N13" s="125"/>
      <c r="O13" s="125"/>
      <c r="P13" s="125"/>
      <c r="Q13" s="125"/>
    </row>
    <row r="14" ht="20" customHeight="1" spans="1:17">
      <c r="A14" s="125"/>
      <c r="B14" s="125"/>
      <c r="C14" s="138" t="s">
        <v>17</v>
      </c>
      <c r="D14" s="141" t="s">
        <v>18</v>
      </c>
      <c r="E14" s="141"/>
      <c r="F14" s="141"/>
      <c r="G14" s="140"/>
      <c r="H14" s="140"/>
      <c r="I14" s="140"/>
      <c r="J14" s="154"/>
      <c r="K14" s="125"/>
      <c r="L14" s="125"/>
      <c r="M14" s="125"/>
      <c r="N14" s="125"/>
      <c r="O14" s="125"/>
      <c r="P14" s="125"/>
      <c r="Q14" s="125"/>
    </row>
    <row r="15" ht="20" customHeight="1" spans="1:17">
      <c r="A15" s="125"/>
      <c r="B15" s="125"/>
      <c r="C15" s="126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ht="20" customHeight="1" spans="1:17">
      <c r="A16" s="125"/>
      <c r="B16" s="125"/>
      <c r="C16" s="126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ht="20" customHeight="1" spans="1:17">
      <c r="A17" s="125"/>
      <c r="B17" s="125"/>
      <c r="C17" s="129" t="s">
        <v>19</v>
      </c>
      <c r="D17" s="146" t="s">
        <v>20</v>
      </c>
      <c r="E17" s="146"/>
      <c r="F17" s="146"/>
      <c r="G17" s="146"/>
      <c r="H17" s="146"/>
      <c r="I17" s="146"/>
      <c r="J17" s="155"/>
      <c r="K17" s="125"/>
      <c r="L17" s="125"/>
      <c r="M17" s="125"/>
      <c r="N17" s="125"/>
      <c r="O17" s="125"/>
      <c r="P17" s="125"/>
      <c r="Q17" s="125"/>
    </row>
    <row r="18" ht="20" customHeight="1" spans="1:17">
      <c r="A18" s="125"/>
      <c r="B18" s="125"/>
      <c r="C18" s="147"/>
      <c r="D18" s="148"/>
      <c r="E18" s="148"/>
      <c r="F18" s="148"/>
      <c r="G18" s="148"/>
      <c r="H18" s="148"/>
      <c r="I18" s="148"/>
      <c r="J18" s="156"/>
      <c r="K18" s="125"/>
      <c r="L18" s="125"/>
      <c r="M18" s="125"/>
      <c r="N18" s="125"/>
      <c r="O18" s="125"/>
      <c r="P18" s="125"/>
      <c r="Q18" s="125"/>
    </row>
    <row r="19" ht="20" customHeight="1" spans="1:17">
      <c r="A19" s="125"/>
      <c r="B19" s="125"/>
      <c r="C19" s="147"/>
      <c r="D19" s="148"/>
      <c r="E19" s="148"/>
      <c r="F19" s="148"/>
      <c r="G19" s="148"/>
      <c r="H19" s="148"/>
      <c r="I19" s="148"/>
      <c r="J19" s="156"/>
      <c r="K19" s="125"/>
      <c r="L19" s="125"/>
      <c r="M19" s="125"/>
      <c r="N19" s="125"/>
      <c r="O19" s="125"/>
      <c r="P19" s="125"/>
      <c r="Q19" s="125"/>
    </row>
    <row r="20" ht="20" customHeight="1" spans="1:17">
      <c r="A20" s="125"/>
      <c r="B20" s="125"/>
      <c r="C20" s="147"/>
      <c r="D20" s="148"/>
      <c r="E20" s="148"/>
      <c r="F20" s="148"/>
      <c r="G20" s="148"/>
      <c r="H20" s="148"/>
      <c r="I20" s="148"/>
      <c r="J20" s="156"/>
      <c r="K20" s="125"/>
      <c r="L20" s="125"/>
      <c r="M20" s="125"/>
      <c r="N20" s="125"/>
      <c r="O20" s="125"/>
      <c r="P20" s="125"/>
      <c r="Q20" s="125"/>
    </row>
    <row r="21" ht="20" customHeight="1" spans="1:17">
      <c r="A21" s="125"/>
      <c r="B21" s="125"/>
      <c r="C21" s="147"/>
      <c r="D21" s="148"/>
      <c r="E21" s="148"/>
      <c r="F21" s="148"/>
      <c r="G21" s="148"/>
      <c r="H21" s="148"/>
      <c r="I21" s="148"/>
      <c r="J21" s="156"/>
      <c r="K21" s="125"/>
      <c r="L21" s="125"/>
      <c r="M21" s="125"/>
      <c r="N21" s="125"/>
      <c r="O21" s="125"/>
      <c r="P21" s="125"/>
      <c r="Q21" s="125"/>
    </row>
    <row r="22" ht="20" customHeight="1" spans="1:17">
      <c r="A22" s="125"/>
      <c r="B22" s="125"/>
      <c r="C22" s="149"/>
      <c r="D22" s="150"/>
      <c r="E22" s="150"/>
      <c r="F22" s="150"/>
      <c r="G22" s="150"/>
      <c r="H22" s="150"/>
      <c r="I22" s="150"/>
      <c r="J22" s="157"/>
      <c r="K22" s="125"/>
      <c r="L22" s="125"/>
      <c r="M22" s="125"/>
      <c r="N22" s="125"/>
      <c r="O22" s="125"/>
      <c r="P22" s="125"/>
      <c r="Q22" s="125"/>
    </row>
    <row r="23" ht="20" customHeight="1" spans="1:17">
      <c r="A23" s="125"/>
      <c r="B23" s="125"/>
      <c r="C23" s="126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ht="20" customHeight="1" spans="1:17">
      <c r="A24" s="125"/>
      <c r="B24" s="125"/>
      <c r="C24" s="126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ht="20" customHeight="1" spans="1:17">
      <c r="A25" s="125"/>
      <c r="B25" s="125"/>
      <c r="C25" s="126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ht="20" customHeight="1" spans="1:17">
      <c r="A26" s="125"/>
      <c r="B26" s="125"/>
      <c r="C26" s="126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  <row r="27" ht="20" customHeight="1" spans="1:17">
      <c r="A27" s="125"/>
      <c r="B27" s="125"/>
      <c r="C27" s="126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ht="20" customHeight="1" spans="1:17">
      <c r="A28" s="125"/>
      <c r="B28" s="125"/>
      <c r="C28" s="126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</sheetData>
  <mergeCells count="3">
    <mergeCell ref="C3:J3"/>
    <mergeCell ref="A29:XFD62"/>
    <mergeCell ref="D17:J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048408"/>
  <sheetViews>
    <sheetView showGridLines="0" workbookViewId="0">
      <pane xSplit="1" ySplit="2" topLeftCell="B3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4.25"/>
  <cols>
    <col min="2" max="2" width="37.75" style="2" customWidth="1"/>
    <col min="3" max="3" width="21.5" style="33" customWidth="1"/>
    <col min="4" max="4" width="12.75" style="33" customWidth="1"/>
    <col min="5" max="5" width="16"/>
    <col min="6" max="6" width="13.125" customWidth="1"/>
    <col min="7" max="9" width="16"/>
    <col min="10" max="10" width="1.625" customWidth="1"/>
  </cols>
  <sheetData>
    <row r="1" ht="13.5" spans="2:4">
      <c r="B1"/>
      <c r="C1"/>
      <c r="D1"/>
    </row>
    <row r="2" ht="20" customHeight="1" spans="2:9">
      <c r="B2" s="96" t="s">
        <v>21</v>
      </c>
      <c r="C2" s="97"/>
      <c r="D2" s="97"/>
      <c r="E2" s="97"/>
      <c r="F2" s="97"/>
      <c r="G2" s="97"/>
      <c r="H2" s="97"/>
      <c r="I2" s="122"/>
    </row>
    <row r="3" s="95" customFormat="1" ht="20" customHeight="1" spans="2:10">
      <c r="B3" s="98"/>
      <c r="C3" s="98"/>
      <c r="D3" s="98"/>
      <c r="E3" s="98"/>
      <c r="F3" s="98"/>
      <c r="G3" s="98"/>
      <c r="H3" s="98"/>
      <c r="I3" s="98"/>
      <c r="J3"/>
    </row>
    <row r="4" ht="20" customHeight="1" spans="2:9">
      <c r="B4" s="99" t="s">
        <v>22</v>
      </c>
      <c r="C4" s="100"/>
      <c r="D4" s="100"/>
      <c r="E4" s="101"/>
      <c r="F4" s="102"/>
      <c r="G4" s="102"/>
      <c r="H4" s="102"/>
      <c r="I4" s="102"/>
    </row>
    <row r="5" ht="20" customHeight="1" spans="2:9">
      <c r="B5" s="103" t="str">
        <f>[2]DCF估值!C20</f>
        <v>适用折现率：</v>
      </c>
      <c r="C5" s="104">
        <f>DCF估值!D21</f>
        <v>0.08351738</v>
      </c>
      <c r="D5" s="102" t="str">
        <f>[2]DCF估值!C24</f>
        <v>无风险报酬率</v>
      </c>
      <c r="E5" s="105">
        <f>DCF估值!D25</f>
        <v>0.0317</v>
      </c>
      <c r="F5" s="102"/>
      <c r="G5" s="102"/>
      <c r="H5" s="102"/>
      <c r="I5" s="102"/>
    </row>
    <row r="6" ht="20" customHeight="1" spans="2:9">
      <c r="B6" s="103" t="str">
        <f>[2]DCF估值!C21</f>
        <v>永续增长率g</v>
      </c>
      <c r="C6" s="104">
        <f>DCF估值!D22</f>
        <v>0.025</v>
      </c>
      <c r="D6" s="102" t="str">
        <f>[2]DCF估值!C25</f>
        <v>风险补偿率</v>
      </c>
      <c r="E6" s="105">
        <f>DCF估值!D26</f>
        <v>0.095</v>
      </c>
      <c r="F6" s="102"/>
      <c r="G6" s="102"/>
      <c r="H6" s="102"/>
      <c r="I6" s="102"/>
    </row>
    <row r="7" ht="20" customHeight="1" spans="2:9">
      <c r="B7" s="103" t="str">
        <f>[2]DCF估值!C22</f>
        <v>税后债务成本率</v>
      </c>
      <c r="C7" s="104">
        <f>DCF估值!D23</f>
        <v>0.0225</v>
      </c>
      <c r="D7" s="102" t="str">
        <f>[2]DCF估值!C26</f>
        <v>贝塔系数</v>
      </c>
      <c r="E7" s="105">
        <f>DCF估值!D27</f>
        <v>0.8186</v>
      </c>
      <c r="F7" s="102"/>
      <c r="G7" s="102"/>
      <c r="H7" s="102"/>
      <c r="I7" s="102"/>
    </row>
    <row r="8" ht="20" customHeight="1" spans="2:9">
      <c r="B8" s="106" t="str">
        <f>[2]DCF估值!C23</f>
        <v>股权成本率</v>
      </c>
      <c r="C8" s="107">
        <f>DCF估值!D24</f>
        <v>0.08351738</v>
      </c>
      <c r="D8" s="108" t="str">
        <f>[2]DCF估值!C27</f>
        <v>目标资本结构</v>
      </c>
      <c r="E8" s="109">
        <f>DCF估值!D28</f>
        <v>0.003</v>
      </c>
      <c r="F8" s="102"/>
      <c r="G8" s="102"/>
      <c r="H8" s="102"/>
      <c r="I8" s="102"/>
    </row>
    <row r="9" ht="20" customHeight="1" spans="2:9">
      <c r="B9" s="102"/>
      <c r="C9" s="102"/>
      <c r="D9" s="102"/>
      <c r="E9" s="102"/>
      <c r="F9" s="102"/>
      <c r="G9" s="102"/>
      <c r="H9" s="102"/>
      <c r="I9" s="102"/>
    </row>
    <row r="10" ht="20" customHeight="1" spans="2:9">
      <c r="B10" s="102"/>
      <c r="C10" s="102"/>
      <c r="D10" s="102"/>
      <c r="E10" s="102"/>
      <c r="F10" s="102"/>
      <c r="G10" s="102"/>
      <c r="H10" s="102"/>
      <c r="I10" s="102"/>
    </row>
    <row r="11" ht="20" customHeight="1" spans="2:9">
      <c r="B11" s="99" t="s">
        <v>23</v>
      </c>
      <c r="C11" s="100"/>
      <c r="D11" s="110" t="s">
        <v>24</v>
      </c>
      <c r="E11" s="110"/>
      <c r="F11" s="110"/>
      <c r="G11" s="110"/>
      <c r="H11" s="110"/>
      <c r="I11" s="123"/>
    </row>
    <row r="12" ht="20" customHeight="1" spans="2:9">
      <c r="B12" s="111" t="s">
        <v>25</v>
      </c>
      <c r="C12" s="112">
        <f>DCF估值!E36</f>
        <v>166.849142175897</v>
      </c>
      <c r="D12" s="113" t="s">
        <v>26</v>
      </c>
      <c r="E12" s="114"/>
      <c r="F12" s="114"/>
      <c r="G12" s="114"/>
      <c r="H12" s="114"/>
      <c r="I12" s="124"/>
    </row>
    <row r="13" ht="20" customHeight="1" spans="2:9">
      <c r="B13" s="115" t="s">
        <v>27</v>
      </c>
      <c r="C13" s="116">
        <f>DCF估值!E37</f>
        <v>-27.199988005743</v>
      </c>
      <c r="D13" s="117">
        <f>DCF估值!C47</f>
        <v>0</v>
      </c>
      <c r="E13" s="117">
        <f>DCF估值!D47</f>
        <v>0.02</v>
      </c>
      <c r="F13" s="117">
        <f>DCF估值!E47</f>
        <v>0.025</v>
      </c>
      <c r="G13" s="117">
        <f>DCF估值!F47</f>
        <v>0.03</v>
      </c>
      <c r="H13" s="117">
        <f>DCF估值!G47</f>
        <v>0.035</v>
      </c>
      <c r="I13" s="117">
        <f>DCF估值!H47</f>
        <v>0.04</v>
      </c>
    </row>
    <row r="14" ht="20" customHeight="1" spans="2:9">
      <c r="B14" s="115" t="s">
        <v>28</v>
      </c>
      <c r="C14" s="116">
        <f>DCF估值!E38</f>
        <v>0</v>
      </c>
      <c r="D14" s="117">
        <f>DCF估值!C48</f>
        <v>0.07</v>
      </c>
      <c r="E14" s="118">
        <f>DCF估值!D48</f>
        <v>52.5277806290135</v>
      </c>
      <c r="F14" s="118">
        <f>DCF估值!E48</f>
        <v>55.6854516773264</v>
      </c>
      <c r="G14" s="118">
        <f>DCF估值!F48</f>
        <v>59.6325404877175</v>
      </c>
      <c r="H14" s="118">
        <f>DCF估值!G48</f>
        <v>64.7073689582204</v>
      </c>
      <c r="I14" s="118">
        <f>DCF估值!H48</f>
        <v>71.4738069188909</v>
      </c>
    </row>
    <row r="15" ht="20" customHeight="1" spans="2:9">
      <c r="B15" s="115" t="s">
        <v>29</v>
      </c>
      <c r="C15" s="116">
        <f>DCF估值!E39</f>
        <v>194.04913018164</v>
      </c>
      <c r="D15" s="117">
        <f>DCF估值!C49</f>
        <v>0.0835</v>
      </c>
      <c r="E15" s="118">
        <f>DCF估值!D49</f>
        <v>46.4859375995644</v>
      </c>
      <c r="F15" s="119">
        <f>DCF估值!E49</f>
        <v>48.398518488912</v>
      </c>
      <c r="G15" s="118">
        <f>DCF估值!F49</f>
        <v>50.6685911332779</v>
      </c>
      <c r="H15" s="118">
        <f>DCF估值!G49</f>
        <v>53.4067199929769</v>
      </c>
      <c r="I15" s="118">
        <f>DCF估值!H49</f>
        <v>56.7743037629516</v>
      </c>
    </row>
    <row r="16" ht="20" customHeight="1" spans="2:9">
      <c r="B16" s="115" t="s">
        <v>30</v>
      </c>
      <c r="C16" s="116">
        <f>DCF估值!E41</f>
        <v>4.01</v>
      </c>
      <c r="D16" s="117">
        <f>DCF估值!C50</f>
        <v>0.09</v>
      </c>
      <c r="E16" s="118">
        <f>DCF估值!D50</f>
        <v>44.4080550762089</v>
      </c>
      <c r="F16" s="118">
        <f>DCF估值!E50</f>
        <v>45.9695407594406</v>
      </c>
      <c r="G16" s="118">
        <f>DCF估值!F50</f>
        <v>47.7912740565442</v>
      </c>
      <c r="H16" s="118">
        <f>DCF估值!G50</f>
        <v>49.9442315894848</v>
      </c>
      <c r="I16" s="118">
        <f>DCF估值!H50</f>
        <v>52.5277806290135</v>
      </c>
    </row>
    <row r="17" ht="20" customHeight="1" spans="2:9">
      <c r="B17" s="111" t="s">
        <v>31</v>
      </c>
      <c r="C17" s="112">
        <f>DCF估值!E42</f>
        <v>48.3913042846981</v>
      </c>
      <c r="D17" s="117">
        <f>DCF估值!C51</f>
        <v>0.1</v>
      </c>
      <c r="E17" s="118">
        <f>DCF估值!D51</f>
        <v>41.8706408409575</v>
      </c>
      <c r="F17" s="118">
        <f>DCF估值!E51</f>
        <v>43.0547674840748</v>
      </c>
      <c r="G17" s="118">
        <f>DCF估值!F51</f>
        <v>44.4080550762089</v>
      </c>
      <c r="H17" s="118">
        <f>DCF估值!G51</f>
        <v>45.9695407594406</v>
      </c>
      <c r="I17" s="118">
        <f>DCF估值!H51</f>
        <v>47.7912740565442</v>
      </c>
    </row>
    <row r="18" ht="20" customHeight="1" spans="2:9">
      <c r="B18" s="120" t="s">
        <v>32</v>
      </c>
      <c r="C18" s="121">
        <v>27.63</v>
      </c>
      <c r="D18" s="117">
        <f>DCF估值!C52</f>
        <v>0.105</v>
      </c>
      <c r="E18" s="118">
        <f>DCF估值!D52</f>
        <v>40.8258232146775</v>
      </c>
      <c r="F18" s="118">
        <f>DCF估值!E52</f>
        <v>41.8706408409575</v>
      </c>
      <c r="G18" s="118">
        <f>DCF估值!F52</f>
        <v>43.0547674840748</v>
      </c>
      <c r="H18" s="118">
        <f>DCF估值!G52</f>
        <v>44.4080550762089</v>
      </c>
      <c r="I18" s="118">
        <f>DCF估值!H52</f>
        <v>45.9695407594406</v>
      </c>
    </row>
  </sheetData>
  <mergeCells count="5">
    <mergeCell ref="B2:I2"/>
    <mergeCell ref="B3:I3"/>
    <mergeCell ref="J1:K1048408"/>
    <mergeCell ref="F4:I8"/>
    <mergeCell ref="B9:I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showGridLines="0" tabSelected="1" workbookViewId="0">
      <selection activeCell="Q16" sqref="Q16"/>
    </sheetView>
  </sheetViews>
  <sheetFormatPr defaultColWidth="9" defaultRowHeight="14.25"/>
  <cols>
    <col min="1" max="1" width="1.5" customWidth="1"/>
    <col min="2" max="2" width="28.1416666666667" style="30"/>
    <col min="3" max="5" width="13" style="30" hidden="1" outlineLevel="1"/>
    <col min="6" max="6" width="13.75" style="30" collapsed="1"/>
    <col min="7" max="7" width="12.625" style="33"/>
    <col min="8" max="13" width="12.625"/>
    <col min="14" max="14" width="1.25" customWidth="1"/>
    <col min="16" max="17" width="13" style="30"/>
  </cols>
  <sheetData>
    <row r="1" spans="2:13">
      <c r="B1" s="84" t="s">
        <v>33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8">
      <c r="A3" s="60"/>
      <c r="B3" s="86"/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10">
        <v>2020</v>
      </c>
      <c r="I3" s="10">
        <v>2021</v>
      </c>
      <c r="J3" s="10">
        <v>2022</v>
      </c>
      <c r="K3" s="10">
        <v>2023</v>
      </c>
      <c r="L3" s="10">
        <v>2024</v>
      </c>
      <c r="M3" s="10">
        <v>2025</v>
      </c>
      <c r="N3" s="60"/>
      <c r="P3" s="33"/>
      <c r="Q3" s="33"/>
      <c r="R3" s="42"/>
    </row>
    <row r="4" spans="1:18">
      <c r="A4" s="60"/>
      <c r="B4" s="33" t="s">
        <v>34</v>
      </c>
      <c r="C4" s="35">
        <v>18.52</v>
      </c>
      <c r="D4" s="35">
        <v>18.16</v>
      </c>
      <c r="E4" s="35">
        <v>19.46</v>
      </c>
      <c r="F4" s="35">
        <v>19.46</v>
      </c>
      <c r="G4" s="48">
        <f>G6+G8+G10+G12</f>
        <v>23.7704</v>
      </c>
      <c r="H4" s="48">
        <f t="shared" ref="H4:M4" si="0">H6+H8+H10+H12</f>
        <v>25.337624</v>
      </c>
      <c r="I4" s="48">
        <f t="shared" si="0"/>
        <v>30.40497512</v>
      </c>
      <c r="J4" s="48">
        <f t="shared" si="0"/>
        <v>34.5733792184</v>
      </c>
      <c r="K4" s="48">
        <f t="shared" si="0"/>
        <v>40.460620511144</v>
      </c>
      <c r="L4" s="48">
        <f t="shared" si="0"/>
        <v>45.1889165099084</v>
      </c>
      <c r="M4" s="48">
        <f t="shared" si="0"/>
        <v>51.4595583274984</v>
      </c>
      <c r="N4" s="60"/>
      <c r="P4" s="35"/>
      <c r="Q4" s="35"/>
      <c r="R4" s="42"/>
    </row>
    <row r="5" spans="1:16">
      <c r="A5" s="60"/>
      <c r="B5" s="33" t="s">
        <v>35</v>
      </c>
      <c r="C5" s="35"/>
      <c r="D5" s="87">
        <f>D4/C4-1</f>
        <v>-0.0194384449244061</v>
      </c>
      <c r="E5" s="87">
        <f>E4/D4-1</f>
        <v>0.0715859030837005</v>
      </c>
      <c r="F5" s="87">
        <f>F4/E4-1</f>
        <v>0</v>
      </c>
      <c r="G5" s="87">
        <f>G4/F4-1</f>
        <v>0.221500513874614</v>
      </c>
      <c r="H5" s="87">
        <f>H4/G4-1</f>
        <v>0.0659317470467473</v>
      </c>
      <c r="I5" s="87">
        <f>I4/H4-1</f>
        <v>0.199993145371484</v>
      </c>
      <c r="J5" s="87">
        <f>J4/I4-1</f>
        <v>0.137096119366928</v>
      </c>
      <c r="K5" s="87">
        <f>K4/J4-1</f>
        <v>0.170282495545324</v>
      </c>
      <c r="L5" s="87">
        <f>L4/K4-1</f>
        <v>0.11686167782479</v>
      </c>
      <c r="M5" s="87">
        <f>M4/L4-1</f>
        <v>0.138765040233153</v>
      </c>
      <c r="N5" s="60"/>
      <c r="P5" s="35"/>
    </row>
    <row r="6" spans="1:16">
      <c r="A6" s="60"/>
      <c r="B6" s="33" t="s">
        <v>36</v>
      </c>
      <c r="C6" s="35">
        <v>10.97</v>
      </c>
      <c r="D6" s="35">
        <v>10.94</v>
      </c>
      <c r="E6" s="47">
        <f>D6*1.08</f>
        <v>11.8152</v>
      </c>
      <c r="F6" s="35">
        <v>11.36</v>
      </c>
      <c r="G6" s="48">
        <f t="shared" ref="G6:M6" si="1">F6*(1+G7)</f>
        <v>13.8592</v>
      </c>
      <c r="H6" s="48">
        <f t="shared" si="1"/>
        <v>14.690752</v>
      </c>
      <c r="I6" s="48">
        <f t="shared" si="1"/>
        <v>17.04127232</v>
      </c>
      <c r="J6" s="48">
        <f t="shared" si="1"/>
        <v>19.0862249984</v>
      </c>
      <c r="K6" s="48">
        <f t="shared" si="1"/>
        <v>22.140020998144</v>
      </c>
      <c r="L6" s="48">
        <f t="shared" si="1"/>
        <v>24.3540230979584</v>
      </c>
      <c r="M6" s="48">
        <f t="shared" si="1"/>
        <v>27.2765058697134</v>
      </c>
      <c r="N6" s="60"/>
      <c r="P6" s="35"/>
    </row>
    <row r="7" spans="1:16">
      <c r="A7" s="60"/>
      <c r="B7" s="33" t="s">
        <v>37</v>
      </c>
      <c r="C7" s="35"/>
      <c r="D7" s="35"/>
      <c r="E7" s="30" t="s">
        <v>38</v>
      </c>
      <c r="F7" s="88">
        <f>F6/E6-1</f>
        <v>-0.0385266436454738</v>
      </c>
      <c r="G7" s="57">
        <v>0.22</v>
      </c>
      <c r="H7" s="57">
        <v>0.06</v>
      </c>
      <c r="I7" s="57">
        <v>0.16</v>
      </c>
      <c r="J7" s="57">
        <v>0.12</v>
      </c>
      <c r="K7" s="57">
        <v>0.16</v>
      </c>
      <c r="L7" s="57">
        <v>0.1</v>
      </c>
      <c r="M7" s="57">
        <v>0.12</v>
      </c>
      <c r="N7" s="60"/>
      <c r="P7" s="35"/>
    </row>
    <row r="8" spans="1:16">
      <c r="A8" s="60"/>
      <c r="B8" s="33" t="s">
        <v>39</v>
      </c>
      <c r="C8" s="35">
        <v>5.73</v>
      </c>
      <c r="D8" s="35">
        <v>5.78</v>
      </c>
      <c r="E8" s="47">
        <f>5.78*1.08</f>
        <v>6.2424</v>
      </c>
      <c r="F8" s="35">
        <v>6.4</v>
      </c>
      <c r="G8" s="33">
        <f t="shared" ref="G8:M8" si="2">F8*(1+G9)</f>
        <v>8</v>
      </c>
      <c r="H8" s="48">
        <f t="shared" si="2"/>
        <v>8.48</v>
      </c>
      <c r="I8" s="48">
        <f t="shared" si="2"/>
        <v>9.8368</v>
      </c>
      <c r="J8" s="48">
        <f t="shared" si="2"/>
        <v>11.017216</v>
      </c>
      <c r="K8" s="48">
        <f t="shared" si="2"/>
        <v>12.77997056</v>
      </c>
      <c r="L8" s="48">
        <f t="shared" si="2"/>
        <v>14.057967616</v>
      </c>
      <c r="M8" s="48">
        <f t="shared" si="2"/>
        <v>16.02608308224</v>
      </c>
      <c r="N8" s="60"/>
      <c r="P8" s="35"/>
    </row>
    <row r="9" spans="1:16">
      <c r="A9" s="60"/>
      <c r="B9" s="33" t="s">
        <v>37</v>
      </c>
      <c r="C9" s="35"/>
      <c r="D9" s="35"/>
      <c r="E9" s="30" t="s">
        <v>38</v>
      </c>
      <c r="F9" s="87">
        <f>F8/E8-1</f>
        <v>0.0252466999871843</v>
      </c>
      <c r="G9" s="57">
        <v>0.25</v>
      </c>
      <c r="H9" s="57">
        <v>0.06</v>
      </c>
      <c r="I9" s="57">
        <v>0.16</v>
      </c>
      <c r="J9" s="57">
        <v>0.12</v>
      </c>
      <c r="K9" s="57">
        <v>0.16</v>
      </c>
      <c r="L9" s="57">
        <v>0.1</v>
      </c>
      <c r="M9" s="57">
        <v>0.14</v>
      </c>
      <c r="N9" s="60"/>
      <c r="P9" s="35"/>
    </row>
    <row r="10" spans="1:16">
      <c r="A10" s="60"/>
      <c r="B10" s="33" t="s">
        <v>40</v>
      </c>
      <c r="C10" s="35">
        <v>1.73</v>
      </c>
      <c r="D10" s="35">
        <v>1.39</v>
      </c>
      <c r="E10" s="30" t="s">
        <v>41</v>
      </c>
      <c r="F10" s="35">
        <v>1.48</v>
      </c>
      <c r="G10" s="48">
        <f t="shared" ref="G10:M10" si="3">F10*(1+G11)</f>
        <v>1.7612</v>
      </c>
      <c r="H10" s="48">
        <f t="shared" si="3"/>
        <v>1.866872</v>
      </c>
      <c r="I10" s="48">
        <f t="shared" si="3"/>
        <v>2.1469028</v>
      </c>
      <c r="J10" s="48">
        <f t="shared" si="3"/>
        <v>2.46893822</v>
      </c>
      <c r="K10" s="48">
        <f t="shared" si="3"/>
        <v>2.839278953</v>
      </c>
      <c r="L10" s="48">
        <f t="shared" si="3"/>
        <v>3.26517079595</v>
      </c>
      <c r="M10" s="48">
        <f t="shared" si="3"/>
        <v>3.591687875545</v>
      </c>
      <c r="N10" s="60"/>
      <c r="P10" s="35"/>
    </row>
    <row r="11" spans="1:16">
      <c r="A11" s="60"/>
      <c r="B11" s="33" t="s">
        <v>37</v>
      </c>
      <c r="C11" s="35"/>
      <c r="D11" s="89">
        <f>D10/C10-1</f>
        <v>-0.196531791907514</v>
      </c>
      <c r="E11" s="89">
        <f>E10/D10-1</f>
        <v>0.0071942446043165</v>
      </c>
      <c r="F11" s="89">
        <f>F10/E10-1</f>
        <v>0.0571428571428572</v>
      </c>
      <c r="G11" s="57">
        <v>0.19</v>
      </c>
      <c r="H11" s="57">
        <v>0.06</v>
      </c>
      <c r="I11" s="57">
        <v>0.15</v>
      </c>
      <c r="J11" s="57">
        <v>0.15</v>
      </c>
      <c r="K11" s="57">
        <v>0.15</v>
      </c>
      <c r="L11" s="57">
        <v>0.15</v>
      </c>
      <c r="M11" s="57">
        <v>0.1</v>
      </c>
      <c r="N11" s="60"/>
      <c r="P11" s="35"/>
    </row>
    <row r="12" spans="1:16">
      <c r="A12" s="60"/>
      <c r="B12" s="33" t="s">
        <v>42</v>
      </c>
      <c r="F12" s="35">
        <v>0.03</v>
      </c>
      <c r="G12" s="33">
        <f t="shared" ref="G12:M12" si="4">F12*(1+G13)</f>
        <v>0.15</v>
      </c>
      <c r="H12" s="33">
        <f t="shared" si="4"/>
        <v>0.3</v>
      </c>
      <c r="I12" s="33">
        <f t="shared" si="4"/>
        <v>1.38</v>
      </c>
      <c r="J12" s="48">
        <f t="shared" si="4"/>
        <v>2.001</v>
      </c>
      <c r="K12" s="48">
        <f t="shared" si="4"/>
        <v>2.70135</v>
      </c>
      <c r="L12" s="48">
        <f t="shared" si="4"/>
        <v>3.511755</v>
      </c>
      <c r="M12" s="48">
        <f t="shared" si="4"/>
        <v>4.5652815</v>
      </c>
      <c r="N12" s="60"/>
      <c r="P12" s="35"/>
    </row>
    <row r="13" spans="1:16">
      <c r="A13" s="60"/>
      <c r="B13" s="33" t="s">
        <v>37</v>
      </c>
      <c r="F13" s="35"/>
      <c r="G13" s="57">
        <v>4</v>
      </c>
      <c r="H13" s="57">
        <v>1</v>
      </c>
      <c r="I13" s="57">
        <v>3.6</v>
      </c>
      <c r="J13" s="57">
        <v>0.45</v>
      </c>
      <c r="K13" s="57">
        <v>0.35</v>
      </c>
      <c r="L13" s="57">
        <v>0.3</v>
      </c>
      <c r="M13" s="57">
        <v>0.3</v>
      </c>
      <c r="N13" s="60"/>
      <c r="P13" s="35"/>
    </row>
    <row r="14" spans="1:14">
      <c r="A14" s="60"/>
      <c r="B14" s="86" t="s">
        <v>43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60"/>
    </row>
    <row r="15" spans="1:16">
      <c r="A15" s="60"/>
      <c r="B15" s="33" t="s">
        <v>36</v>
      </c>
      <c r="C15" s="35">
        <v>2.81</v>
      </c>
      <c r="D15" s="35">
        <v>2.71</v>
      </c>
      <c r="F15" s="35">
        <v>2.83</v>
      </c>
      <c r="G15" s="48">
        <f>G6-G22</f>
        <v>3.23750912</v>
      </c>
      <c r="H15" s="48">
        <f t="shared" ref="H15:M15" si="5">H6-H22</f>
        <v>3.4317596672</v>
      </c>
      <c r="I15" s="48">
        <f t="shared" si="5"/>
        <v>3.980841213952</v>
      </c>
      <c r="J15" s="48">
        <f t="shared" si="5"/>
        <v>4.45854215962624</v>
      </c>
      <c r="K15" s="48">
        <f t="shared" si="5"/>
        <v>5.17190890516644</v>
      </c>
      <c r="L15" s="48">
        <f t="shared" si="5"/>
        <v>5.68909979568308</v>
      </c>
      <c r="M15" s="48">
        <f t="shared" si="5"/>
        <v>6.37179177116505</v>
      </c>
      <c r="N15" s="60"/>
      <c r="P15" s="35"/>
    </row>
    <row r="16" spans="1:16">
      <c r="A16" s="60"/>
      <c r="B16" s="33" t="s">
        <v>39</v>
      </c>
      <c r="C16" s="35">
        <v>1.56</v>
      </c>
      <c r="D16" s="35">
        <v>1.54</v>
      </c>
      <c r="F16" s="35">
        <v>1.71</v>
      </c>
      <c r="G16" s="48">
        <f>G8-G23</f>
        <v>2.048</v>
      </c>
      <c r="H16" s="48">
        <f t="shared" ref="H16:M16" si="6">H8-H23</f>
        <v>2.17088</v>
      </c>
      <c r="I16" s="48">
        <f t="shared" si="6"/>
        <v>2.5182208</v>
      </c>
      <c r="J16" s="48">
        <f t="shared" si="6"/>
        <v>2.820407296</v>
      </c>
      <c r="K16" s="48">
        <f t="shared" si="6"/>
        <v>3.27167246336</v>
      </c>
      <c r="L16" s="48">
        <f t="shared" si="6"/>
        <v>3.598839709696</v>
      </c>
      <c r="M16" s="48">
        <f t="shared" si="6"/>
        <v>4.10267726905344</v>
      </c>
      <c r="N16" s="60"/>
      <c r="P16" s="35"/>
    </row>
    <row r="17" spans="1:16">
      <c r="A17" s="60"/>
      <c r="B17" s="33" t="s">
        <v>40</v>
      </c>
      <c r="C17" s="35">
        <v>0.3</v>
      </c>
      <c r="D17" s="35">
        <v>0.25</v>
      </c>
      <c r="F17" s="35">
        <v>0.28</v>
      </c>
      <c r="G17" s="48">
        <f>G10-G24</f>
        <v>0.3619266</v>
      </c>
      <c r="H17" s="48">
        <f t="shared" ref="H17:M17" si="7">H10-H24</f>
        <v>0.383642196</v>
      </c>
      <c r="I17" s="48">
        <f t="shared" si="7"/>
        <v>0.4411885254</v>
      </c>
      <c r="J17" s="48">
        <f t="shared" si="7"/>
        <v>0.50736680421</v>
      </c>
      <c r="K17" s="48">
        <f t="shared" si="7"/>
        <v>0.5834718248415</v>
      </c>
      <c r="L17" s="48">
        <f t="shared" si="7"/>
        <v>0.670992598567725</v>
      </c>
      <c r="M17" s="48">
        <f t="shared" si="7"/>
        <v>0.738091858424497</v>
      </c>
      <c r="N17" s="60"/>
      <c r="P17" s="35"/>
    </row>
    <row r="18" spans="1:16">
      <c r="A18" s="60"/>
      <c r="B18" s="33" t="s">
        <v>42</v>
      </c>
      <c r="F18" s="35">
        <v>0.01</v>
      </c>
      <c r="G18" s="48">
        <f>G12-G25</f>
        <v>0.0285</v>
      </c>
      <c r="H18" s="48">
        <f t="shared" ref="H18:M18" si="8">H12-H25</f>
        <v>0.057</v>
      </c>
      <c r="I18" s="48">
        <f t="shared" si="8"/>
        <v>0.2622</v>
      </c>
      <c r="J18" s="48">
        <f t="shared" si="8"/>
        <v>0.38019</v>
      </c>
      <c r="K18" s="48">
        <f t="shared" si="8"/>
        <v>0.5132565</v>
      </c>
      <c r="L18" s="48">
        <f t="shared" si="8"/>
        <v>0.66723345</v>
      </c>
      <c r="M18" s="48">
        <f t="shared" si="8"/>
        <v>0.867403485</v>
      </c>
      <c r="N18" s="60"/>
      <c r="P18" s="35"/>
    </row>
    <row r="19" spans="1:17">
      <c r="A19" s="60"/>
      <c r="B19" s="33" t="s">
        <v>43</v>
      </c>
      <c r="C19" s="35">
        <v>4.71</v>
      </c>
      <c r="D19" s="35">
        <v>4.53</v>
      </c>
      <c r="E19" s="35"/>
      <c r="F19" s="35">
        <v>4.9</v>
      </c>
      <c r="G19" s="48">
        <f>SUM(G15:G18)</f>
        <v>5.67593572</v>
      </c>
      <c r="H19" s="90">
        <f t="shared" ref="H19:M19" si="9">SUM(H15:H18)</f>
        <v>6.0432818632</v>
      </c>
      <c r="I19" s="90">
        <f t="shared" si="9"/>
        <v>7.202450539352</v>
      </c>
      <c r="J19" s="90">
        <f t="shared" si="9"/>
        <v>8.16650625983624</v>
      </c>
      <c r="K19" s="90">
        <f t="shared" si="9"/>
        <v>9.54030969336793</v>
      </c>
      <c r="L19" s="90">
        <f t="shared" si="9"/>
        <v>10.6261655539468</v>
      </c>
      <c r="M19" s="90">
        <f t="shared" si="9"/>
        <v>12.079964383643</v>
      </c>
      <c r="N19" s="60"/>
      <c r="P19" s="35"/>
      <c r="Q19" s="35"/>
    </row>
    <row r="20" spans="1:14">
      <c r="A20" s="60"/>
      <c r="B20" s="33"/>
      <c r="C20" s="35"/>
      <c r="D20" s="35"/>
      <c r="F20" s="35"/>
      <c r="N20" s="60"/>
    </row>
    <row r="21" spans="1:16">
      <c r="A21" s="60"/>
      <c r="B21" s="86" t="s">
        <v>44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60"/>
      <c r="P21" s="35"/>
    </row>
    <row r="22" spans="1:16">
      <c r="A22" s="60"/>
      <c r="B22" s="33" t="s">
        <v>36</v>
      </c>
      <c r="C22" s="35">
        <v>8.17</v>
      </c>
      <c r="D22" s="35">
        <v>8.23</v>
      </c>
      <c r="F22" s="35">
        <v>8.52</v>
      </c>
      <c r="G22" s="48">
        <f>G6*G29/100</f>
        <v>10.62169088</v>
      </c>
      <c r="H22" s="48">
        <f t="shared" ref="H22:M22" si="10">H6*H29/100</f>
        <v>11.2589923328</v>
      </c>
      <c r="I22" s="48">
        <f t="shared" si="10"/>
        <v>13.060431106048</v>
      </c>
      <c r="J22" s="48">
        <f t="shared" si="10"/>
        <v>14.6276828387738</v>
      </c>
      <c r="K22" s="48">
        <f t="shared" si="10"/>
        <v>16.9681120929776</v>
      </c>
      <c r="L22" s="48">
        <f t="shared" si="10"/>
        <v>18.6649233022753</v>
      </c>
      <c r="M22" s="48">
        <f t="shared" si="10"/>
        <v>20.9047140985484</v>
      </c>
      <c r="N22" s="60"/>
      <c r="P22" s="35"/>
    </row>
    <row r="23" spans="1:16">
      <c r="A23" s="60"/>
      <c r="B23" s="33" t="s">
        <v>39</v>
      </c>
      <c r="C23" s="35">
        <v>4.18</v>
      </c>
      <c r="D23" s="35">
        <v>4.24</v>
      </c>
      <c r="F23" s="35">
        <v>4.69</v>
      </c>
      <c r="G23" s="48">
        <f>G8*G30/100</f>
        <v>5.952</v>
      </c>
      <c r="H23" s="48">
        <f t="shared" ref="H23:M23" si="11">H8*H30/100</f>
        <v>6.30912</v>
      </c>
      <c r="I23" s="48">
        <f t="shared" si="11"/>
        <v>7.3185792</v>
      </c>
      <c r="J23" s="48">
        <f t="shared" si="11"/>
        <v>8.196808704</v>
      </c>
      <c r="K23" s="48">
        <f t="shared" si="11"/>
        <v>9.50829809664</v>
      </c>
      <c r="L23" s="48">
        <f t="shared" si="11"/>
        <v>10.459127906304</v>
      </c>
      <c r="M23" s="48">
        <f t="shared" si="11"/>
        <v>11.9234058131866</v>
      </c>
      <c r="N23" s="60"/>
      <c r="P23" s="35"/>
    </row>
    <row r="24" spans="1:16">
      <c r="A24" s="60"/>
      <c r="B24" s="33" t="s">
        <v>40</v>
      </c>
      <c r="C24" s="35">
        <v>1.43</v>
      </c>
      <c r="D24" s="35">
        <v>1.13</v>
      </c>
      <c r="F24" s="35">
        <v>1.2</v>
      </c>
      <c r="G24" s="48">
        <f>G10*G31/100</f>
        <v>1.3992734</v>
      </c>
      <c r="H24" s="48">
        <f t="shared" ref="H24:M24" si="12">H10*H31/100</f>
        <v>1.483229804</v>
      </c>
      <c r="I24" s="48">
        <f t="shared" si="12"/>
        <v>1.7057142746</v>
      </c>
      <c r="J24" s="48">
        <f t="shared" si="12"/>
        <v>1.96157141579</v>
      </c>
      <c r="K24" s="48">
        <f t="shared" si="12"/>
        <v>2.2558071281585</v>
      </c>
      <c r="L24" s="48">
        <f t="shared" si="12"/>
        <v>2.59417819738227</v>
      </c>
      <c r="M24" s="48">
        <f t="shared" si="12"/>
        <v>2.8535960171205</v>
      </c>
      <c r="N24" s="60"/>
      <c r="P24" s="35"/>
    </row>
    <row r="25" spans="1:16">
      <c r="A25" s="60"/>
      <c r="B25" s="33" t="s">
        <v>42</v>
      </c>
      <c r="F25" s="35">
        <v>0.02</v>
      </c>
      <c r="G25" s="48">
        <f>G12*G32/100</f>
        <v>0.1215</v>
      </c>
      <c r="H25" s="48">
        <f t="shared" ref="H25:M25" si="13">H12*H32/100</f>
        <v>0.243</v>
      </c>
      <c r="I25" s="48">
        <f t="shared" si="13"/>
        <v>1.1178</v>
      </c>
      <c r="J25" s="48">
        <f t="shared" si="13"/>
        <v>1.62081</v>
      </c>
      <c r="K25" s="48">
        <f t="shared" si="13"/>
        <v>2.1880935</v>
      </c>
      <c r="L25" s="48">
        <f t="shared" si="13"/>
        <v>2.84452155</v>
      </c>
      <c r="M25" s="48">
        <f t="shared" si="13"/>
        <v>3.697878015</v>
      </c>
      <c r="N25" s="60"/>
      <c r="P25" s="35"/>
    </row>
    <row r="26" spans="1:16">
      <c r="A26" s="60"/>
      <c r="B26" s="33" t="s">
        <v>45</v>
      </c>
      <c r="C26" s="35">
        <v>13.8</v>
      </c>
      <c r="D26" s="35">
        <v>13.63</v>
      </c>
      <c r="E26" s="35"/>
      <c r="F26" s="35">
        <v>14.56</v>
      </c>
      <c r="G26" s="48">
        <f>SUM(G22:G25)</f>
        <v>18.09446428</v>
      </c>
      <c r="H26" s="48">
        <f t="shared" ref="H26:M26" si="14">SUM(H22:H25)</f>
        <v>19.2943421368</v>
      </c>
      <c r="I26" s="48">
        <f t="shared" si="14"/>
        <v>23.202524580648</v>
      </c>
      <c r="J26" s="48">
        <f t="shared" si="14"/>
        <v>26.4068729585638</v>
      </c>
      <c r="K26" s="48">
        <f t="shared" si="14"/>
        <v>30.9203108177761</v>
      </c>
      <c r="L26" s="48">
        <f t="shared" si="14"/>
        <v>34.5627509559616</v>
      </c>
      <c r="M26" s="48">
        <f t="shared" si="14"/>
        <v>39.3795939438554</v>
      </c>
      <c r="N26" s="60"/>
      <c r="P26" s="35"/>
    </row>
    <row r="27" spans="1:16">
      <c r="A27" s="60"/>
      <c r="B27" s="33" t="s">
        <v>37</v>
      </c>
      <c r="C27" s="35"/>
      <c r="D27" s="35"/>
      <c r="F27" s="35"/>
      <c r="G27" s="91">
        <f>G26/F26-1</f>
        <v>0.242751667582418</v>
      </c>
      <c r="H27" s="92">
        <f t="shared" ref="H27:M27" si="15">H26/G26-1</f>
        <v>0.066311875180866</v>
      </c>
      <c r="I27" s="92">
        <f t="shared" si="15"/>
        <v>0.202555879653131</v>
      </c>
      <c r="J27" s="92">
        <f t="shared" si="15"/>
        <v>0.138103436407448</v>
      </c>
      <c r="K27" s="92">
        <f t="shared" si="15"/>
        <v>0.170919058318437</v>
      </c>
      <c r="L27" s="92">
        <f t="shared" si="15"/>
        <v>0.117800890154425</v>
      </c>
      <c r="M27" s="92">
        <f t="shared" si="15"/>
        <v>0.139365150477497</v>
      </c>
      <c r="N27" s="60"/>
      <c r="P27" s="35"/>
    </row>
    <row r="28" spans="1:16">
      <c r="A28" s="60"/>
      <c r="B28" s="8" t="s">
        <v>46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60"/>
      <c r="P28" s="35"/>
    </row>
    <row r="29" spans="1:16">
      <c r="A29" s="60"/>
      <c r="B29" s="33" t="s">
        <v>36</v>
      </c>
      <c r="C29" s="35">
        <v>74.42</v>
      </c>
      <c r="D29" s="35">
        <v>75.24</v>
      </c>
      <c r="F29" s="35">
        <v>75.06</v>
      </c>
      <c r="G29" s="33">
        <v>76.64</v>
      </c>
      <c r="H29" s="33">
        <f t="shared" ref="H29:M29" si="16">G29</f>
        <v>76.64</v>
      </c>
      <c r="I29" s="33">
        <f t="shared" si="16"/>
        <v>76.64</v>
      </c>
      <c r="J29" s="33">
        <f t="shared" si="16"/>
        <v>76.64</v>
      </c>
      <c r="K29" s="33">
        <f t="shared" si="16"/>
        <v>76.64</v>
      </c>
      <c r="L29" s="33">
        <f t="shared" si="16"/>
        <v>76.64</v>
      </c>
      <c r="M29" s="33">
        <f t="shared" si="16"/>
        <v>76.64</v>
      </c>
      <c r="N29" s="60"/>
      <c r="P29" s="35"/>
    </row>
    <row r="30" spans="1:16">
      <c r="A30" s="60"/>
      <c r="B30" s="33" t="s">
        <v>39</v>
      </c>
      <c r="C30" s="35">
        <v>72.86</v>
      </c>
      <c r="D30" s="35">
        <v>73.4</v>
      </c>
      <c r="F30" s="35">
        <v>73.3</v>
      </c>
      <c r="G30" s="33">
        <v>74.4</v>
      </c>
      <c r="H30" s="33">
        <f t="shared" ref="H30:M30" si="17">G30</f>
        <v>74.4</v>
      </c>
      <c r="I30" s="33">
        <f t="shared" si="17"/>
        <v>74.4</v>
      </c>
      <c r="J30" s="33">
        <f t="shared" si="17"/>
        <v>74.4</v>
      </c>
      <c r="K30" s="33">
        <f t="shared" si="17"/>
        <v>74.4</v>
      </c>
      <c r="L30" s="33">
        <f t="shared" si="17"/>
        <v>74.4</v>
      </c>
      <c r="M30" s="33">
        <f t="shared" si="17"/>
        <v>74.4</v>
      </c>
      <c r="N30" s="60"/>
      <c r="P30" s="35"/>
    </row>
    <row r="31" spans="1:16">
      <c r="A31" s="60"/>
      <c r="B31" s="33" t="s">
        <v>40</v>
      </c>
      <c r="C31" s="35">
        <v>82.63</v>
      </c>
      <c r="D31" s="35">
        <v>81.89</v>
      </c>
      <c r="F31" s="35">
        <v>80.91</v>
      </c>
      <c r="G31" s="33">
        <v>79.45</v>
      </c>
      <c r="H31" s="33">
        <f t="shared" ref="H31:M31" si="18">G31</f>
        <v>79.45</v>
      </c>
      <c r="I31" s="33">
        <f t="shared" si="18"/>
        <v>79.45</v>
      </c>
      <c r="J31" s="33">
        <f t="shared" si="18"/>
        <v>79.45</v>
      </c>
      <c r="K31" s="33">
        <f t="shared" si="18"/>
        <v>79.45</v>
      </c>
      <c r="L31" s="33">
        <f t="shared" si="18"/>
        <v>79.45</v>
      </c>
      <c r="M31" s="33">
        <f t="shared" si="18"/>
        <v>79.45</v>
      </c>
      <c r="N31" s="60"/>
      <c r="P31" s="35"/>
    </row>
    <row r="32" spans="1:16">
      <c r="A32" s="60"/>
      <c r="B32" s="33" t="s">
        <v>42</v>
      </c>
      <c r="F32" s="35">
        <v>77.47</v>
      </c>
      <c r="G32" s="33">
        <v>81</v>
      </c>
      <c r="H32" s="33">
        <f t="shared" ref="H32:M32" si="19">G32</f>
        <v>81</v>
      </c>
      <c r="I32" s="33">
        <f t="shared" si="19"/>
        <v>81</v>
      </c>
      <c r="J32" s="33">
        <f t="shared" si="19"/>
        <v>81</v>
      </c>
      <c r="K32" s="33">
        <f t="shared" si="19"/>
        <v>81</v>
      </c>
      <c r="L32" s="33">
        <f t="shared" si="19"/>
        <v>81</v>
      </c>
      <c r="M32" s="33">
        <f t="shared" si="19"/>
        <v>81</v>
      </c>
      <c r="N32" s="60"/>
      <c r="P32" s="35"/>
    </row>
    <row r="33" spans="1:17">
      <c r="A33" s="60"/>
      <c r="B33" s="33" t="s">
        <v>47</v>
      </c>
      <c r="C33" s="35">
        <v>74.54</v>
      </c>
      <c r="D33" s="35">
        <v>75.06</v>
      </c>
      <c r="E33" s="35">
        <v>76.07</v>
      </c>
      <c r="F33" s="35">
        <v>74.84</v>
      </c>
      <c r="G33" s="48">
        <f t="shared" ref="G33:M33" si="20">(G26/G4)*100</f>
        <v>76.1218333725979</v>
      </c>
      <c r="H33" s="48">
        <f t="shared" si="20"/>
        <v>76.1489796233459</v>
      </c>
      <c r="I33" s="48">
        <f t="shared" si="20"/>
        <v>76.3116052194553</v>
      </c>
      <c r="J33" s="48">
        <f t="shared" si="20"/>
        <v>76.3792072269001</v>
      </c>
      <c r="K33" s="48">
        <f t="shared" si="20"/>
        <v>76.4207528880081</v>
      </c>
      <c r="L33" s="48">
        <f t="shared" si="20"/>
        <v>76.4850180649566</v>
      </c>
      <c r="M33" s="48">
        <f t="shared" si="20"/>
        <v>76.5253243979208</v>
      </c>
      <c r="N33" s="60"/>
      <c r="P33" s="35"/>
      <c r="Q33" s="35"/>
    </row>
    <row r="34" ht="7" customHeight="1" spans="1:14">
      <c r="A34" s="60"/>
      <c r="B34" s="38"/>
      <c r="C34" s="93"/>
      <c r="D34" s="93"/>
      <c r="E34" s="93"/>
      <c r="F34" s="93"/>
      <c r="G34" s="38"/>
      <c r="H34" s="60"/>
      <c r="I34" s="60"/>
      <c r="J34" s="60"/>
      <c r="K34" s="60"/>
      <c r="L34" s="60"/>
      <c r="M34" s="60"/>
      <c r="N34" s="60"/>
    </row>
    <row r="35" spans="2:6">
      <c r="B35" s="33"/>
      <c r="C35" s="35"/>
      <c r="D35" s="35"/>
      <c r="F35" s="35"/>
    </row>
    <row r="36" spans="2:6">
      <c r="B36" s="33"/>
      <c r="C36" s="35"/>
      <c r="D36" s="35"/>
      <c r="F36" s="35"/>
    </row>
    <row r="37" spans="2:6">
      <c r="B37" s="33"/>
      <c r="D37" s="35"/>
      <c r="F37" s="35"/>
    </row>
    <row r="38" spans="2:6">
      <c r="B38" s="33"/>
      <c r="C38" s="35"/>
      <c r="D38" s="35"/>
      <c r="F38" s="35"/>
    </row>
    <row r="39" spans="2:17">
      <c r="B39" s="33"/>
      <c r="C39" s="33"/>
      <c r="D39" s="33"/>
      <c r="E39" s="33"/>
      <c r="F39" s="33"/>
      <c r="P39" s="33"/>
      <c r="Q39" s="33"/>
    </row>
    <row r="40" spans="2:17">
      <c r="B40" s="33"/>
      <c r="C40" s="33"/>
      <c r="D40" s="33"/>
      <c r="E40" s="33"/>
      <c r="F40" s="33"/>
      <c r="P40" s="33"/>
      <c r="Q40" s="33"/>
    </row>
    <row r="41" spans="2:17">
      <c r="B41" s="33"/>
      <c r="C41" s="33"/>
      <c r="D41" s="33"/>
      <c r="E41" s="33"/>
      <c r="F41" s="33"/>
      <c r="P41" s="33"/>
      <c r="Q41" s="33"/>
    </row>
    <row r="42" spans="2:17">
      <c r="B42" s="33"/>
      <c r="C42" s="33"/>
      <c r="D42" s="33"/>
      <c r="E42" s="33"/>
      <c r="F42" s="33"/>
      <c r="P42" s="33"/>
      <c r="Q42" s="33"/>
    </row>
    <row r="46" spans="2:2">
      <c r="B46" s="33"/>
    </row>
    <row r="47" spans="2:2">
      <c r="B47" s="94"/>
    </row>
  </sheetData>
  <mergeCells count="4">
    <mergeCell ref="B14:M14"/>
    <mergeCell ref="B21:M21"/>
    <mergeCell ref="B28:M28"/>
    <mergeCell ref="B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0"/>
  <sheetViews>
    <sheetView showGridLines="0" workbookViewId="0">
      <selection activeCell="B27" sqref="B27"/>
    </sheetView>
  </sheetViews>
  <sheetFormatPr defaultColWidth="9" defaultRowHeight="14.25"/>
  <cols>
    <col min="2" max="2" width="22.25" style="80" customWidth="1"/>
    <col min="3" max="4" width="12.625" style="80"/>
    <col min="5" max="5" width="13.75" style="80"/>
    <col min="6" max="12" width="9" style="80"/>
  </cols>
  <sheetData>
    <row r="2" spans="2:12">
      <c r="B2" s="81"/>
      <c r="C2" s="45">
        <v>2016</v>
      </c>
      <c r="D2" s="45">
        <v>2017</v>
      </c>
      <c r="E2" s="45">
        <v>2018</v>
      </c>
      <c r="F2" s="38">
        <v>2019</v>
      </c>
      <c r="G2" s="38">
        <v>2020</v>
      </c>
      <c r="H2" s="38">
        <v>2021</v>
      </c>
      <c r="I2" s="38">
        <v>2022</v>
      </c>
      <c r="J2" s="38">
        <v>2023</v>
      </c>
      <c r="K2" s="38">
        <v>2024</v>
      </c>
      <c r="L2" s="38">
        <v>2025</v>
      </c>
    </row>
    <row r="3" spans="2:2">
      <c r="B3" s="82" t="s">
        <v>48</v>
      </c>
    </row>
    <row r="4" spans="2:12">
      <c r="B4" s="82" t="s">
        <v>49</v>
      </c>
      <c r="C4" s="51">
        <f>IS!F11/BS!F6</f>
        <v>33.0181818181818</v>
      </c>
      <c r="D4" s="51">
        <f>IS!G11/BS!G6</f>
        <v>35.3818181818182</v>
      </c>
      <c r="E4" s="51">
        <f>IS!H11/BS!H6</f>
        <v>35.5932203389831</v>
      </c>
      <c r="F4" s="33">
        <v>34.66</v>
      </c>
      <c r="G4" s="33">
        <f t="shared" ref="G4:L4" si="0">F4</f>
        <v>34.66</v>
      </c>
      <c r="H4" s="33">
        <f t="shared" si="0"/>
        <v>34.66</v>
      </c>
      <c r="I4" s="33">
        <f t="shared" si="0"/>
        <v>34.66</v>
      </c>
      <c r="J4" s="33">
        <f t="shared" si="0"/>
        <v>34.66</v>
      </c>
      <c r="K4" s="33">
        <f t="shared" si="0"/>
        <v>34.66</v>
      </c>
      <c r="L4" s="33">
        <f t="shared" si="0"/>
        <v>34.66</v>
      </c>
    </row>
    <row r="5" spans="2:12">
      <c r="B5" s="82" t="s">
        <v>50</v>
      </c>
      <c r="C5" s="48">
        <f>IS!F11/BS!F7</f>
        <v>35.6078431372549</v>
      </c>
      <c r="D5" s="48">
        <f>IS!G11/BS!G7</f>
        <v>12.887417218543</v>
      </c>
      <c r="E5" s="48">
        <f>IS!H11/BS!H7</f>
        <v>35.5932203389831</v>
      </c>
      <c r="F5" s="33">
        <v>35.6</v>
      </c>
      <c r="G5" s="33">
        <f t="shared" ref="G5:L5" si="1">F5</f>
        <v>35.6</v>
      </c>
      <c r="H5" s="33">
        <f t="shared" si="1"/>
        <v>35.6</v>
      </c>
      <c r="I5" s="33">
        <f t="shared" si="1"/>
        <v>35.6</v>
      </c>
      <c r="J5" s="33">
        <f t="shared" si="1"/>
        <v>35.6</v>
      </c>
      <c r="K5" s="33">
        <f t="shared" si="1"/>
        <v>35.6</v>
      </c>
      <c r="L5" s="33">
        <f t="shared" si="1"/>
        <v>35.6</v>
      </c>
    </row>
    <row r="6" spans="2:12">
      <c r="B6" s="82" t="s">
        <v>51</v>
      </c>
      <c r="C6" s="48">
        <f>IS!F11/BS!F8</f>
        <v>34.9230769230769</v>
      </c>
      <c r="D6" s="48">
        <f>IS!G11/BS!G8</f>
        <v>29.044776119403</v>
      </c>
      <c r="E6" s="48">
        <f>IS!H11/BS!H8</f>
        <v>30.8823529411765</v>
      </c>
      <c r="F6" s="33">
        <f>31.6</f>
        <v>31.6</v>
      </c>
      <c r="G6" s="33">
        <f t="shared" ref="G6:L6" si="2">31.6</f>
        <v>31.6</v>
      </c>
      <c r="H6" s="33">
        <f t="shared" si="2"/>
        <v>31.6</v>
      </c>
      <c r="I6" s="33">
        <f t="shared" si="2"/>
        <v>31.6</v>
      </c>
      <c r="J6" s="33">
        <f t="shared" si="2"/>
        <v>31.6</v>
      </c>
      <c r="K6" s="33">
        <f t="shared" si="2"/>
        <v>31.6</v>
      </c>
      <c r="L6" s="33">
        <f t="shared" si="2"/>
        <v>31.6</v>
      </c>
    </row>
    <row r="7" spans="2:12">
      <c r="B7" s="82" t="s">
        <v>52</v>
      </c>
      <c r="C7" s="48">
        <f>IS!F11/BS!F9</f>
        <v>7.79399141630901</v>
      </c>
      <c r="D7" s="48">
        <f>IS!G11/BS!G9</f>
        <v>7.63137254901961</v>
      </c>
      <c r="E7" s="48">
        <f>IS!H11/BS!H9</f>
        <v>8.13953488372093</v>
      </c>
      <c r="F7" s="33">
        <v>8</v>
      </c>
      <c r="G7" s="33">
        <f t="shared" ref="G7:L7" si="3">F7</f>
        <v>8</v>
      </c>
      <c r="H7" s="33">
        <f t="shared" si="3"/>
        <v>8</v>
      </c>
      <c r="I7" s="33">
        <f t="shared" si="3"/>
        <v>8</v>
      </c>
      <c r="J7" s="33">
        <f t="shared" si="3"/>
        <v>8</v>
      </c>
      <c r="K7" s="33">
        <f t="shared" si="3"/>
        <v>8</v>
      </c>
      <c r="L7" s="33">
        <f t="shared" si="3"/>
        <v>8</v>
      </c>
    </row>
    <row r="10" spans="2:12">
      <c r="B10" s="45" t="s">
        <v>53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2">
      <c r="B11" s="83" t="s">
        <v>54</v>
      </c>
      <c r="C11" s="51">
        <f>IS!F11/BS!F24</f>
        <v>40.3555555555556</v>
      </c>
      <c r="D11" s="51">
        <f>IS!G11/BS!G24</f>
        <v>40.5416666666667</v>
      </c>
      <c r="E11" s="51">
        <f>IS!H11/BS!H24</f>
        <v>25.609756097561</v>
      </c>
      <c r="F11" s="80">
        <v>35</v>
      </c>
      <c r="G11" s="80">
        <v>38</v>
      </c>
      <c r="H11" s="80">
        <f>G11</f>
        <v>38</v>
      </c>
      <c r="I11" s="80">
        <f>H11</f>
        <v>38</v>
      </c>
      <c r="J11" s="80">
        <f>I11</f>
        <v>38</v>
      </c>
      <c r="K11" s="80">
        <f>J11</f>
        <v>38</v>
      </c>
      <c r="L11" s="80">
        <f>K11</f>
        <v>38</v>
      </c>
    </row>
    <row r="12" spans="2:12">
      <c r="B12" s="33" t="s">
        <v>55</v>
      </c>
      <c r="C12" s="51">
        <f>IS!F11/BS!F25</f>
        <v>11.7922077922078</v>
      </c>
      <c r="D12" s="51">
        <f>IS!G11/BS!G25</f>
        <v>14.4148148148148</v>
      </c>
      <c r="E12" s="51">
        <f>IS!H11/BS!H25</f>
        <v>14</v>
      </c>
      <c r="F12" s="80">
        <v>14</v>
      </c>
      <c r="G12" s="80">
        <f t="shared" ref="G12:L12" si="4">F12</f>
        <v>14</v>
      </c>
      <c r="H12" s="80">
        <f t="shared" si="4"/>
        <v>14</v>
      </c>
      <c r="I12" s="80">
        <f t="shared" si="4"/>
        <v>14</v>
      </c>
      <c r="J12" s="80">
        <f t="shared" si="4"/>
        <v>14</v>
      </c>
      <c r="K12" s="80">
        <f t="shared" si="4"/>
        <v>14</v>
      </c>
      <c r="L12" s="80">
        <f t="shared" si="4"/>
        <v>14</v>
      </c>
    </row>
    <row r="13" spans="2:12">
      <c r="B13" s="33" t="s">
        <v>56</v>
      </c>
      <c r="C13" s="51">
        <f>IS!F11/BS!F26</f>
        <v>72.64</v>
      </c>
      <c r="D13" s="51">
        <f>IS!G11/BS!G26</f>
        <v>55.6</v>
      </c>
      <c r="E13" s="51">
        <f>IS!H11/BS!H26</f>
        <v>46.6666666666667</v>
      </c>
      <c r="F13" s="80">
        <f>45</f>
        <v>45</v>
      </c>
      <c r="G13" s="80">
        <f t="shared" ref="G13:L13" si="5">F13</f>
        <v>45</v>
      </c>
      <c r="H13" s="80">
        <f t="shared" si="5"/>
        <v>45</v>
      </c>
      <c r="I13" s="80">
        <f t="shared" si="5"/>
        <v>45</v>
      </c>
      <c r="J13" s="80">
        <f t="shared" si="5"/>
        <v>45</v>
      </c>
      <c r="K13" s="80">
        <f t="shared" si="5"/>
        <v>45</v>
      </c>
      <c r="L13" s="80">
        <f t="shared" si="5"/>
        <v>45</v>
      </c>
    </row>
    <row r="14" spans="2:12">
      <c r="B14" s="33" t="s">
        <v>57</v>
      </c>
      <c r="C14" s="51">
        <f>IS!F11/BS!F27</f>
        <v>13.4518518518519</v>
      </c>
      <c r="D14" s="51">
        <f>IS!G11/BS!G27</f>
        <v>18.7115384615385</v>
      </c>
      <c r="E14" s="51">
        <f>IS!H11/BS!H27</f>
        <v>22.1052631578947</v>
      </c>
      <c r="F14" s="80">
        <f>19</f>
        <v>19</v>
      </c>
      <c r="G14" s="80">
        <v>18</v>
      </c>
      <c r="H14" s="80">
        <f>G14</f>
        <v>18</v>
      </c>
      <c r="I14" s="80">
        <f>H14</f>
        <v>18</v>
      </c>
      <c r="J14" s="80">
        <f>I14</f>
        <v>18</v>
      </c>
      <c r="K14" s="80">
        <f>J14</f>
        <v>18</v>
      </c>
      <c r="L14" s="80">
        <f>K14</f>
        <v>18</v>
      </c>
    </row>
    <row r="15" spans="2:12">
      <c r="B15" s="33" t="s">
        <v>58</v>
      </c>
      <c r="C15" s="51">
        <f>IS!F11/BS!F28</f>
        <v>34.9230769230769</v>
      </c>
      <c r="D15" s="51">
        <f>IS!G11/BS!G28</f>
        <v>51.2105263157895</v>
      </c>
      <c r="E15" s="51">
        <f>IS!H11/BS!H28</f>
        <v>46.6666666666667</v>
      </c>
      <c r="F15" s="80">
        <v>44</v>
      </c>
      <c r="G15" s="80">
        <f t="shared" ref="G15:L15" si="6">F15</f>
        <v>44</v>
      </c>
      <c r="H15" s="80">
        <f t="shared" si="6"/>
        <v>44</v>
      </c>
      <c r="I15" s="80">
        <f t="shared" si="6"/>
        <v>44</v>
      </c>
      <c r="J15" s="80">
        <f t="shared" si="6"/>
        <v>44</v>
      </c>
      <c r="K15" s="80">
        <f t="shared" si="6"/>
        <v>44</v>
      </c>
      <c r="L15" s="80">
        <f t="shared" si="6"/>
        <v>44</v>
      </c>
    </row>
    <row r="16" spans="2:12">
      <c r="B16" s="33" t="s">
        <v>59</v>
      </c>
      <c r="C16" s="51">
        <f>IS!F11/BS!F29</f>
        <v>50.4444444444444</v>
      </c>
      <c r="D16" s="51">
        <f>IS!G11/BS!G29</f>
        <v>44.2272727272727</v>
      </c>
      <c r="E16" s="51">
        <f>IS!H11/BS!H29</f>
        <v>50</v>
      </c>
      <c r="F16" s="80">
        <v>50</v>
      </c>
      <c r="G16" s="80">
        <f t="shared" ref="G16:L16" si="7">F16</f>
        <v>50</v>
      </c>
      <c r="H16" s="80">
        <f t="shared" si="7"/>
        <v>50</v>
      </c>
      <c r="I16" s="80">
        <f t="shared" si="7"/>
        <v>50</v>
      </c>
      <c r="J16" s="80">
        <f t="shared" si="7"/>
        <v>50</v>
      </c>
      <c r="K16" s="80">
        <f t="shared" si="7"/>
        <v>50</v>
      </c>
      <c r="L16" s="80">
        <f t="shared" si="7"/>
        <v>50</v>
      </c>
    </row>
    <row r="18" spans="2:2">
      <c r="B18" s="82"/>
    </row>
    <row r="19" spans="2:12">
      <c r="B19" s="82" t="s">
        <v>60</v>
      </c>
      <c r="C19" s="48">
        <f>BS!F14/BS!F17</f>
        <v>6.86206896551724</v>
      </c>
      <c r="D19" s="48">
        <f>BS!G14/BS!G17</f>
        <v>5.08108108108108</v>
      </c>
      <c r="E19" s="48">
        <f>BS!H14/BS!H17</f>
        <v>10.1052631578947</v>
      </c>
      <c r="F19" s="80">
        <v>10</v>
      </c>
      <c r="G19" s="80">
        <f t="shared" ref="G19:L19" si="8">F19</f>
        <v>10</v>
      </c>
      <c r="H19" s="80">
        <f t="shared" si="8"/>
        <v>10</v>
      </c>
      <c r="I19" s="80">
        <f t="shared" si="8"/>
        <v>10</v>
      </c>
      <c r="J19" s="80">
        <f t="shared" si="8"/>
        <v>10</v>
      </c>
      <c r="K19" s="80">
        <f t="shared" si="8"/>
        <v>10</v>
      </c>
      <c r="L19" s="80">
        <f t="shared" si="8"/>
        <v>10</v>
      </c>
    </row>
    <row r="20" spans="2:12">
      <c r="B20" s="82" t="s">
        <v>61</v>
      </c>
      <c r="C20" s="48">
        <f>IS!I34/BS!F18</f>
        <v>19.1318260909091</v>
      </c>
      <c r="D20" s="48">
        <f>IS!J34/BS!G18</f>
        <v>11.7057089694737</v>
      </c>
      <c r="E20" s="48">
        <f>IS!K34/BS!H18</f>
        <v>17.6358567236046</v>
      </c>
      <c r="F20" s="80">
        <f>20.5</f>
        <v>20.5</v>
      </c>
      <c r="G20" s="80">
        <f t="shared" ref="G20:L20" si="9">F20</f>
        <v>20.5</v>
      </c>
      <c r="H20" s="80">
        <f t="shared" si="9"/>
        <v>20.5</v>
      </c>
      <c r="I20" s="80">
        <f t="shared" si="9"/>
        <v>20.5</v>
      </c>
      <c r="J20" s="80">
        <f t="shared" si="9"/>
        <v>20.5</v>
      </c>
      <c r="K20" s="80">
        <f t="shared" si="9"/>
        <v>20.5</v>
      </c>
      <c r="L20" s="80">
        <f t="shared" si="9"/>
        <v>20.5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29"/>
  <sheetViews>
    <sheetView showGridLines="0" workbookViewId="0">
      <selection activeCell="H40" sqref="H40"/>
    </sheetView>
  </sheetViews>
  <sheetFormatPr defaultColWidth="9" defaultRowHeight="13.5"/>
  <cols>
    <col min="2" max="2" width="1.125" customWidth="1"/>
    <col min="3" max="3" width="21.25" customWidth="1"/>
    <col min="4" max="5" width="12.625" style="1"/>
    <col min="6" max="6" width="11.5" style="1"/>
    <col min="8" max="8" width="10.375"/>
    <col min="9" max="13" width="12.625"/>
    <col min="14" max="14" width="1" customWidth="1"/>
  </cols>
  <sheetData>
    <row r="2" ht="7" customHeight="1"/>
    <row r="3" ht="14.25" spans="2:14">
      <c r="B3" s="60"/>
      <c r="C3" s="61"/>
      <c r="D3" s="45">
        <v>2016</v>
      </c>
      <c r="E3" s="45">
        <v>2017</v>
      </c>
      <c r="F3" s="45">
        <v>2018</v>
      </c>
      <c r="G3" s="38">
        <v>2019</v>
      </c>
      <c r="H3" s="38">
        <v>2020</v>
      </c>
      <c r="I3" s="38">
        <v>2021</v>
      </c>
      <c r="J3" s="38">
        <v>2022</v>
      </c>
      <c r="K3" s="38">
        <v>2023</v>
      </c>
      <c r="L3" s="38">
        <v>2024</v>
      </c>
      <c r="M3" s="38">
        <v>2025</v>
      </c>
      <c r="N3" s="60"/>
    </row>
    <row r="4" ht="14.25" spans="2:14">
      <c r="B4" s="60"/>
      <c r="C4" s="62" t="s">
        <v>62</v>
      </c>
      <c r="D4" s="63">
        <f>D15</f>
        <v>0</v>
      </c>
      <c r="E4" s="64">
        <f t="shared" ref="E4:M4" si="0">E15</f>
        <v>0.04</v>
      </c>
      <c r="F4" s="64">
        <f t="shared" si="0"/>
        <v>1.76</v>
      </c>
      <c r="G4" s="64">
        <f t="shared" si="0"/>
        <v>1.0888</v>
      </c>
      <c r="H4" s="64">
        <f t="shared" si="0"/>
        <v>0.908008</v>
      </c>
      <c r="I4" s="64">
        <f t="shared" si="0"/>
        <v>1.25548928</v>
      </c>
      <c r="J4" s="64">
        <f t="shared" si="0"/>
        <v>1.2788675648</v>
      </c>
      <c r="K4" s="64">
        <f t="shared" si="0"/>
        <v>1.584586375168</v>
      </c>
      <c r="L4" s="64">
        <f t="shared" si="0"/>
        <v>1.74937019519488</v>
      </c>
      <c r="M4" s="75">
        <f t="shared" si="0"/>
        <v>2.07981942642606</v>
      </c>
      <c r="N4" s="60"/>
    </row>
    <row r="5" ht="14.25" spans="2:14">
      <c r="B5" s="60"/>
      <c r="C5" s="65" t="s">
        <v>63</v>
      </c>
      <c r="D5" s="33">
        <f>D21</f>
        <v>0.00999999999999999</v>
      </c>
      <c r="E5" s="33">
        <f t="shared" ref="E5:M5" si="1">E21</f>
        <v>0.26</v>
      </c>
      <c r="F5" s="33">
        <f t="shared" si="1"/>
        <v>0.86</v>
      </c>
      <c r="G5" s="48">
        <f t="shared" si="1"/>
        <v>0.9976</v>
      </c>
      <c r="H5" s="48">
        <f t="shared" si="1"/>
        <v>1.157216</v>
      </c>
      <c r="I5" s="48">
        <f t="shared" si="1"/>
        <v>1.34237056</v>
      </c>
      <c r="J5" s="48">
        <f t="shared" si="1"/>
        <v>1.5571498496</v>
      </c>
      <c r="K5" s="48">
        <f t="shared" si="1"/>
        <v>1.806293825536</v>
      </c>
      <c r="L5" s="48">
        <f t="shared" si="1"/>
        <v>2.09530083762176</v>
      </c>
      <c r="M5" s="76">
        <f t="shared" si="1"/>
        <v>2.43054897164124</v>
      </c>
      <c r="N5" s="60"/>
    </row>
    <row r="6" ht="14.25" spans="2:14">
      <c r="B6" s="60"/>
      <c r="C6" s="65" t="s">
        <v>64</v>
      </c>
      <c r="D6" s="33"/>
      <c r="E6" s="33"/>
      <c r="F6" s="33"/>
      <c r="G6" s="33"/>
      <c r="H6" s="33">
        <f t="shared" ref="H6:M6" si="2">H11</f>
        <v>0.3</v>
      </c>
      <c r="I6" s="33">
        <f t="shared" si="2"/>
        <v>0.3</v>
      </c>
      <c r="J6" s="33">
        <f t="shared" si="2"/>
        <v>0.3</v>
      </c>
      <c r="K6" s="33">
        <f t="shared" si="2"/>
        <v>0.3</v>
      </c>
      <c r="L6" s="33">
        <f t="shared" si="2"/>
        <v>0.3</v>
      </c>
      <c r="M6" s="77">
        <f t="shared" si="2"/>
        <v>0.3</v>
      </c>
      <c r="N6" s="60"/>
    </row>
    <row r="7" ht="14.25" spans="2:14">
      <c r="B7" s="60"/>
      <c r="C7" s="65" t="s">
        <v>65</v>
      </c>
      <c r="D7" s="33">
        <f>D25</f>
        <v>0.03</v>
      </c>
      <c r="E7" s="33">
        <f t="shared" ref="E7:M7" si="3">E25</f>
        <v>0.03</v>
      </c>
      <c r="F7" s="33">
        <f t="shared" si="3"/>
        <v>0.08</v>
      </c>
      <c r="G7" s="33">
        <f t="shared" si="3"/>
        <v>0.05</v>
      </c>
      <c r="H7" s="33">
        <f t="shared" si="3"/>
        <v>0.06</v>
      </c>
      <c r="I7" s="33">
        <f t="shared" si="3"/>
        <v>0.07</v>
      </c>
      <c r="J7" s="33">
        <f t="shared" si="3"/>
        <v>0.08</v>
      </c>
      <c r="K7" s="33">
        <f t="shared" si="3"/>
        <v>0.09</v>
      </c>
      <c r="L7" s="33">
        <f t="shared" si="3"/>
        <v>0.1</v>
      </c>
      <c r="M7" s="77">
        <f t="shared" si="3"/>
        <v>0.11</v>
      </c>
      <c r="N7" s="60"/>
    </row>
    <row r="8" ht="14.25" spans="2:14">
      <c r="B8" s="60"/>
      <c r="C8" s="66" t="s">
        <v>66</v>
      </c>
      <c r="D8" s="67">
        <f>SUM(D4:D7)</f>
        <v>0.04</v>
      </c>
      <c r="E8" s="67">
        <f t="shared" ref="E8:M8" si="4">SUM(E4:E7)</f>
        <v>0.33</v>
      </c>
      <c r="F8" s="67">
        <f t="shared" si="4"/>
        <v>2.7</v>
      </c>
      <c r="G8" s="67">
        <f t="shared" si="4"/>
        <v>2.1364</v>
      </c>
      <c r="H8" s="67">
        <f t="shared" si="4"/>
        <v>2.425224</v>
      </c>
      <c r="I8" s="67">
        <f t="shared" si="4"/>
        <v>2.96785984</v>
      </c>
      <c r="J8" s="67">
        <f t="shared" si="4"/>
        <v>3.2160174144</v>
      </c>
      <c r="K8" s="67">
        <f t="shared" si="4"/>
        <v>3.780880200704</v>
      </c>
      <c r="L8" s="67">
        <f t="shared" si="4"/>
        <v>4.24467103281664</v>
      </c>
      <c r="M8" s="78">
        <f t="shared" si="4"/>
        <v>4.9203683980673</v>
      </c>
      <c r="N8" s="60"/>
    </row>
    <row r="9" ht="14.25" spans="2:14">
      <c r="B9" s="60"/>
      <c r="C9" s="34"/>
      <c r="D9" s="33"/>
      <c r="E9" s="33"/>
      <c r="F9" s="33"/>
      <c r="G9" s="33"/>
      <c r="H9" s="33"/>
      <c r="I9" s="33"/>
      <c r="J9" s="33"/>
      <c r="K9" s="33"/>
      <c r="L9" s="33"/>
      <c r="M9" s="33"/>
      <c r="N9" s="60"/>
    </row>
    <row r="10" ht="14.25" spans="2:14">
      <c r="B10" s="60"/>
      <c r="C10" s="34" t="s">
        <v>67</v>
      </c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60"/>
    </row>
    <row r="11" ht="14.25" spans="2:14">
      <c r="B11" s="60"/>
      <c r="C11" s="34" t="s">
        <v>68</v>
      </c>
      <c r="D11" s="33">
        <v>0</v>
      </c>
      <c r="E11" s="33">
        <f>D11</f>
        <v>0</v>
      </c>
      <c r="F11" s="33">
        <f t="shared" ref="F11:N11" si="5">E11</f>
        <v>0</v>
      </c>
      <c r="G11" s="34">
        <f t="shared" si="5"/>
        <v>0</v>
      </c>
      <c r="H11" s="34">
        <v>0.3</v>
      </c>
      <c r="I11" s="34">
        <f t="shared" si="5"/>
        <v>0.3</v>
      </c>
      <c r="J11" s="34">
        <f t="shared" si="5"/>
        <v>0.3</v>
      </c>
      <c r="K11" s="34">
        <f t="shared" si="5"/>
        <v>0.3</v>
      </c>
      <c r="L11" s="34">
        <f t="shared" si="5"/>
        <v>0.3</v>
      </c>
      <c r="M11" s="34">
        <f t="shared" si="5"/>
        <v>0.3</v>
      </c>
      <c r="N11" s="60"/>
    </row>
    <row r="12" ht="14.25" spans="2:14">
      <c r="B12" s="60"/>
      <c r="C12" s="34"/>
      <c r="D12" s="33"/>
      <c r="E12" s="33"/>
      <c r="F12" s="33"/>
      <c r="G12" s="34"/>
      <c r="H12" s="34"/>
      <c r="I12" s="34"/>
      <c r="J12" s="34"/>
      <c r="K12" s="34"/>
      <c r="L12" s="34"/>
      <c r="M12" s="34"/>
      <c r="N12" s="60"/>
    </row>
    <row r="13" ht="14.25" spans="2:14">
      <c r="B13" s="60"/>
      <c r="C13" s="34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60"/>
    </row>
    <row r="14" ht="14.25" spans="2:14">
      <c r="B14" s="60"/>
      <c r="C14" s="62" t="s">
        <v>69</v>
      </c>
      <c r="D14" s="63">
        <f>BS!E14</f>
        <v>2.06</v>
      </c>
      <c r="E14" s="63">
        <f>BS!F14</f>
        <v>1.99</v>
      </c>
      <c r="F14" s="63">
        <f>BS!G14</f>
        <v>1.88</v>
      </c>
      <c r="G14" s="63">
        <f>F18</f>
        <v>3.84</v>
      </c>
      <c r="H14" s="64">
        <f t="shared" ref="H14:M14" si="6">G18</f>
        <v>4.5985704</v>
      </c>
      <c r="I14" s="64">
        <f t="shared" si="6"/>
        <v>5.066052128</v>
      </c>
      <c r="J14" s="64">
        <f t="shared" si="6"/>
        <v>5.6893872672</v>
      </c>
      <c r="K14" s="64">
        <f t="shared" si="6"/>
        <v>6.2714293488</v>
      </c>
      <c r="L14" s="64">
        <f t="shared" si="6"/>
        <v>7.0704141515712</v>
      </c>
      <c r="M14" s="75">
        <f t="shared" si="6"/>
        <v>7.93780591208947</v>
      </c>
      <c r="N14" s="60"/>
    </row>
    <row r="15" ht="14.25" spans="2:14">
      <c r="B15" s="60"/>
      <c r="C15" s="65" t="s">
        <v>62</v>
      </c>
      <c r="D15" s="33">
        <v>0</v>
      </c>
      <c r="E15" s="33">
        <v>0.04</v>
      </c>
      <c r="F15" s="33">
        <v>1.76</v>
      </c>
      <c r="G15" s="48">
        <f>(G20+G21)*0.5</f>
        <v>1.0888</v>
      </c>
      <c r="H15" s="48">
        <f t="shared" ref="H15:M15" si="7">(H20+H21)*0.5</f>
        <v>0.908008</v>
      </c>
      <c r="I15" s="48">
        <f t="shared" si="7"/>
        <v>1.25548928</v>
      </c>
      <c r="J15" s="48">
        <f t="shared" si="7"/>
        <v>1.2788675648</v>
      </c>
      <c r="K15" s="48">
        <f t="shared" si="7"/>
        <v>1.584586375168</v>
      </c>
      <c r="L15" s="48">
        <f t="shared" si="7"/>
        <v>1.74937019519488</v>
      </c>
      <c r="M15" s="76">
        <f t="shared" si="7"/>
        <v>2.07981942642606</v>
      </c>
      <c r="N15" s="60"/>
    </row>
    <row r="16" ht="14.25" spans="2:14">
      <c r="B16" s="60"/>
      <c r="C16" s="65" t="s">
        <v>70</v>
      </c>
      <c r="D16" s="33">
        <f>CS!F40</f>
        <v>0.14</v>
      </c>
      <c r="E16" s="33">
        <f>CS!G40</f>
        <v>0.15</v>
      </c>
      <c r="F16" s="33">
        <f>CS!H40</f>
        <v>0.2</v>
      </c>
      <c r="G16" s="48">
        <f>(G14+G15)*G17</f>
        <v>0.3302296</v>
      </c>
      <c r="H16" s="48">
        <f t="shared" ref="H16:M16" si="8">(H14+H15)*H17</f>
        <v>0.440526272</v>
      </c>
      <c r="I16" s="48">
        <f t="shared" si="8"/>
        <v>0.6321541408</v>
      </c>
      <c r="J16" s="48">
        <f t="shared" si="8"/>
        <v>0.6968254832</v>
      </c>
      <c r="K16" s="48">
        <f t="shared" si="8"/>
        <v>0.7856015723968</v>
      </c>
      <c r="L16" s="48">
        <f t="shared" si="8"/>
        <v>0.881978434676608</v>
      </c>
      <c r="M16" s="76">
        <f t="shared" si="8"/>
        <v>1.00176253385155</v>
      </c>
      <c r="N16" s="60"/>
    </row>
    <row r="17" ht="14.25" spans="2:14">
      <c r="B17" s="60"/>
      <c r="C17" s="65" t="s">
        <v>71</v>
      </c>
      <c r="D17" s="53">
        <f>D16/D14</f>
        <v>0.0679611650485437</v>
      </c>
      <c r="E17" s="53">
        <f>E16/E14</f>
        <v>0.0753768844221105</v>
      </c>
      <c r="F17" s="53">
        <f>F16/F14</f>
        <v>0.106382978723404</v>
      </c>
      <c r="G17" s="56">
        <v>0.067</v>
      </c>
      <c r="H17" s="56">
        <v>0.08</v>
      </c>
      <c r="I17" s="56">
        <v>0.1</v>
      </c>
      <c r="J17" s="54">
        <f>I17</f>
        <v>0.1</v>
      </c>
      <c r="K17" s="54">
        <f>J17</f>
        <v>0.1</v>
      </c>
      <c r="L17" s="54">
        <f>K17</f>
        <v>0.1</v>
      </c>
      <c r="M17" s="79">
        <f>L17</f>
        <v>0.1</v>
      </c>
      <c r="N17" s="60"/>
    </row>
    <row r="18" ht="14.25" spans="2:14">
      <c r="B18" s="60"/>
      <c r="C18" s="65" t="s">
        <v>72</v>
      </c>
      <c r="D18" s="33">
        <f>BS!F14</f>
        <v>1.99</v>
      </c>
      <c r="E18" s="33">
        <f>BS!G14</f>
        <v>1.88</v>
      </c>
      <c r="F18" s="33">
        <f>BS!H14</f>
        <v>3.84</v>
      </c>
      <c r="G18" s="48">
        <f>G14+G15-G16</f>
        <v>4.5985704</v>
      </c>
      <c r="H18" s="48">
        <f t="shared" ref="H18:M18" si="9">H14+H15-H16</f>
        <v>5.066052128</v>
      </c>
      <c r="I18" s="48">
        <f t="shared" si="9"/>
        <v>5.6893872672</v>
      </c>
      <c r="J18" s="48">
        <f t="shared" si="9"/>
        <v>6.2714293488</v>
      </c>
      <c r="K18" s="48">
        <f t="shared" si="9"/>
        <v>7.0704141515712</v>
      </c>
      <c r="L18" s="48">
        <f t="shared" si="9"/>
        <v>7.93780591208947</v>
      </c>
      <c r="M18" s="76">
        <f t="shared" si="9"/>
        <v>9.01586280466398</v>
      </c>
      <c r="N18" s="60"/>
    </row>
    <row r="19" ht="14.25" spans="2:14">
      <c r="B19" s="60"/>
      <c r="C19" s="65"/>
      <c r="D19" s="33"/>
      <c r="E19" s="33"/>
      <c r="F19" s="33"/>
      <c r="G19" s="33"/>
      <c r="H19" s="33"/>
      <c r="I19" s="33"/>
      <c r="J19" s="33"/>
      <c r="K19" s="33"/>
      <c r="L19" s="33"/>
      <c r="M19" s="77"/>
      <c r="N19" s="60"/>
    </row>
    <row r="20" ht="14.25" spans="2:14">
      <c r="B20" s="60"/>
      <c r="C20" s="65" t="s">
        <v>73</v>
      </c>
      <c r="D20" s="33">
        <f>BS!E15</f>
        <v>0.05</v>
      </c>
      <c r="E20" s="33">
        <f>BS!F15</f>
        <v>0.06</v>
      </c>
      <c r="F20" s="33">
        <f>BS!G15</f>
        <v>0.32</v>
      </c>
      <c r="G20" s="33">
        <f>F22</f>
        <v>1.18</v>
      </c>
      <c r="H20" s="48">
        <f t="shared" ref="H20:M20" si="10">G22</f>
        <v>0.6588</v>
      </c>
      <c r="I20" s="48">
        <f t="shared" si="10"/>
        <v>1.168608</v>
      </c>
      <c r="J20" s="48">
        <f t="shared" si="10"/>
        <v>1.00058528</v>
      </c>
      <c r="K20" s="48">
        <f t="shared" si="10"/>
        <v>1.3628789248</v>
      </c>
      <c r="L20" s="48">
        <f t="shared" si="10"/>
        <v>1.403439552768</v>
      </c>
      <c r="M20" s="76">
        <f t="shared" si="10"/>
        <v>1.72908988121088</v>
      </c>
      <c r="N20" s="60"/>
    </row>
    <row r="21" ht="14.25" spans="2:14">
      <c r="B21" s="60"/>
      <c r="C21" s="68" t="s">
        <v>63</v>
      </c>
      <c r="D21" s="8">
        <f>D22-D20</f>
        <v>0.00999999999999999</v>
      </c>
      <c r="E21" s="8">
        <f>E22-E20</f>
        <v>0.26</v>
      </c>
      <c r="F21" s="8">
        <f>F22-F20</f>
        <v>0.86</v>
      </c>
      <c r="G21" s="48">
        <f>F21*1.16</f>
        <v>0.9976</v>
      </c>
      <c r="H21" s="48">
        <f t="shared" ref="H21:M21" si="11">G21*1.16</f>
        <v>1.157216</v>
      </c>
      <c r="I21" s="48">
        <f t="shared" si="11"/>
        <v>1.34237056</v>
      </c>
      <c r="J21" s="48">
        <f t="shared" si="11"/>
        <v>1.5571498496</v>
      </c>
      <c r="K21" s="48">
        <f t="shared" si="11"/>
        <v>1.806293825536</v>
      </c>
      <c r="L21" s="48">
        <f t="shared" si="11"/>
        <v>2.09530083762176</v>
      </c>
      <c r="M21" s="76">
        <f t="shared" si="11"/>
        <v>2.43054897164124</v>
      </c>
      <c r="N21" s="60"/>
    </row>
    <row r="22" ht="14.25" spans="2:14">
      <c r="B22" s="60"/>
      <c r="C22" s="66" t="s">
        <v>74</v>
      </c>
      <c r="D22" s="69">
        <f>BS!F15</f>
        <v>0.06</v>
      </c>
      <c r="E22" s="69">
        <f>BS!G15</f>
        <v>0.32</v>
      </c>
      <c r="F22" s="69">
        <f>BS!H15</f>
        <v>1.18</v>
      </c>
      <c r="G22" s="67">
        <f>F20*0.5+G21*0.5</f>
        <v>0.6588</v>
      </c>
      <c r="H22" s="67">
        <f t="shared" ref="H22:M22" si="12">G20*0.5+H21*0.5</f>
        <v>1.168608</v>
      </c>
      <c r="I22" s="67">
        <f t="shared" si="12"/>
        <v>1.00058528</v>
      </c>
      <c r="J22" s="67">
        <f t="shared" si="12"/>
        <v>1.3628789248</v>
      </c>
      <c r="K22" s="67">
        <f t="shared" si="12"/>
        <v>1.403439552768</v>
      </c>
      <c r="L22" s="67">
        <f t="shared" si="12"/>
        <v>1.72908988121088</v>
      </c>
      <c r="M22" s="78">
        <f t="shared" si="12"/>
        <v>1.91699426220462</v>
      </c>
      <c r="N22" s="60"/>
    </row>
    <row r="23" ht="14.25" spans="2:14">
      <c r="B23" s="60"/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60"/>
    </row>
    <row r="24" ht="14.25" spans="2:14">
      <c r="B24" s="60"/>
      <c r="C24" s="62" t="s">
        <v>75</v>
      </c>
      <c r="D24" s="63">
        <f>BS!E16</f>
        <v>0.01</v>
      </c>
      <c r="E24" s="63">
        <f>BS!F16</f>
        <v>0.04</v>
      </c>
      <c r="F24" s="63">
        <f>BS!G16</f>
        <v>0.12</v>
      </c>
      <c r="G24" s="63">
        <f>F28</f>
        <v>0.17</v>
      </c>
      <c r="H24" s="64">
        <f t="shared" ref="H24:M24" si="13">G28</f>
        <v>0.1716</v>
      </c>
      <c r="I24" s="64">
        <f t="shared" si="13"/>
        <v>0.180648</v>
      </c>
      <c r="J24" s="64">
        <f t="shared" si="13"/>
        <v>0.19550544</v>
      </c>
      <c r="K24" s="64">
        <f t="shared" si="13"/>
        <v>0.2148942432</v>
      </c>
      <c r="L24" s="64">
        <f t="shared" si="13"/>
        <v>0.237817509696</v>
      </c>
      <c r="M24" s="75">
        <f t="shared" si="13"/>
        <v>0.26349765756288</v>
      </c>
      <c r="N24" s="60"/>
    </row>
    <row r="25" ht="14.25" spans="2:14">
      <c r="B25" s="60"/>
      <c r="C25" s="65" t="s">
        <v>65</v>
      </c>
      <c r="D25" s="33">
        <v>0.03</v>
      </c>
      <c r="E25" s="33">
        <f>E24-D24</f>
        <v>0.03</v>
      </c>
      <c r="F25" s="33">
        <f>F24-E24</f>
        <v>0.08</v>
      </c>
      <c r="G25" s="33">
        <v>0.05</v>
      </c>
      <c r="H25" s="33">
        <f t="shared" ref="H25:M25" si="14">G25+0.01</f>
        <v>0.06</v>
      </c>
      <c r="I25" s="33">
        <f t="shared" si="14"/>
        <v>0.07</v>
      </c>
      <c r="J25" s="33">
        <f t="shared" si="14"/>
        <v>0.08</v>
      </c>
      <c r="K25" s="33">
        <f t="shared" si="14"/>
        <v>0.09</v>
      </c>
      <c r="L25" s="33">
        <f t="shared" si="14"/>
        <v>0.1</v>
      </c>
      <c r="M25" s="77">
        <f t="shared" si="14"/>
        <v>0.11</v>
      </c>
      <c r="N25" s="60"/>
    </row>
    <row r="26" ht="14.25" spans="2:14">
      <c r="B26" s="60"/>
      <c r="C26" s="65" t="s">
        <v>76</v>
      </c>
      <c r="D26" s="33">
        <f>CS!F41</f>
        <v>0.01</v>
      </c>
      <c r="E26" s="33">
        <f>CS!G41</f>
        <v>0.02</v>
      </c>
      <c r="F26" s="33">
        <f>CS!H41</f>
        <v>0.03</v>
      </c>
      <c r="G26" s="48">
        <f>(G24+G25)*G27</f>
        <v>0.0484</v>
      </c>
      <c r="H26" s="48">
        <f t="shared" ref="H26:M26" si="15">(H24+H25)*H27</f>
        <v>0.050952</v>
      </c>
      <c r="I26" s="48">
        <f t="shared" si="15"/>
        <v>0.05514256</v>
      </c>
      <c r="J26" s="48">
        <f t="shared" si="15"/>
        <v>0.0606111968</v>
      </c>
      <c r="K26" s="48">
        <f t="shared" si="15"/>
        <v>0.067076733504</v>
      </c>
      <c r="L26" s="48">
        <f t="shared" si="15"/>
        <v>0.07431985213312</v>
      </c>
      <c r="M26" s="76">
        <f t="shared" si="15"/>
        <v>0.0821694846638336</v>
      </c>
      <c r="N26" s="60"/>
    </row>
    <row r="27" ht="14.25" spans="2:14">
      <c r="B27" s="60"/>
      <c r="C27" s="70" t="s">
        <v>77</v>
      </c>
      <c r="D27" s="71">
        <f>D26/(D24+D25)</f>
        <v>0.25</v>
      </c>
      <c r="E27" s="71">
        <f>E26/(E24+E25)</f>
        <v>0.285714285714286</v>
      </c>
      <c r="F27" s="71">
        <f>F26/(F24+F25)</f>
        <v>0.15</v>
      </c>
      <c r="G27" s="57">
        <v>0.22</v>
      </c>
      <c r="H27" s="54">
        <f t="shared" ref="H27:M27" si="16">G27</f>
        <v>0.22</v>
      </c>
      <c r="I27" s="54">
        <f t="shared" si="16"/>
        <v>0.22</v>
      </c>
      <c r="J27" s="54">
        <f t="shared" si="16"/>
        <v>0.22</v>
      </c>
      <c r="K27" s="54">
        <f t="shared" si="16"/>
        <v>0.22</v>
      </c>
      <c r="L27" s="54">
        <f t="shared" si="16"/>
        <v>0.22</v>
      </c>
      <c r="M27" s="79">
        <f t="shared" si="16"/>
        <v>0.22</v>
      </c>
      <c r="N27" s="60"/>
    </row>
    <row r="28" ht="14.25" spans="2:14">
      <c r="B28" s="60"/>
      <c r="C28" s="72" t="s">
        <v>78</v>
      </c>
      <c r="D28" s="73">
        <f>BS!F16</f>
        <v>0.04</v>
      </c>
      <c r="E28" s="73">
        <f t="shared" ref="E28:M28" si="17">(E24+E25)-E26</f>
        <v>0.05</v>
      </c>
      <c r="F28" s="73">
        <f t="shared" si="17"/>
        <v>0.17</v>
      </c>
      <c r="G28" s="67">
        <f t="shared" si="17"/>
        <v>0.1716</v>
      </c>
      <c r="H28" s="67">
        <f t="shared" si="17"/>
        <v>0.180648</v>
      </c>
      <c r="I28" s="67">
        <f t="shared" si="17"/>
        <v>0.19550544</v>
      </c>
      <c r="J28" s="67">
        <f t="shared" si="17"/>
        <v>0.2148942432</v>
      </c>
      <c r="K28" s="67">
        <f t="shared" si="17"/>
        <v>0.237817509696</v>
      </c>
      <c r="L28" s="67">
        <f t="shared" si="17"/>
        <v>0.26349765756288</v>
      </c>
      <c r="M28" s="78">
        <f t="shared" si="17"/>
        <v>0.291328172899046</v>
      </c>
      <c r="N28" s="60"/>
    </row>
    <row r="29" ht="6" customHeight="1" spans="2:14">
      <c r="B29" s="60"/>
      <c r="C29" s="60"/>
      <c r="D29" s="74"/>
      <c r="E29" s="74"/>
      <c r="F29" s="74"/>
      <c r="G29" s="60"/>
      <c r="H29" s="60"/>
      <c r="I29" s="60"/>
      <c r="J29" s="60"/>
      <c r="K29" s="60"/>
      <c r="L29" s="60"/>
      <c r="M29" s="60"/>
      <c r="N29" s="60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4"/>
  <sheetViews>
    <sheetView showGridLines="0" workbookViewId="0">
      <pane xSplit="8" ySplit="2" topLeftCell="I3" activePane="bottomRight" state="frozen"/>
      <selection/>
      <selection pane="topRight"/>
      <selection pane="bottomLeft"/>
      <selection pane="bottomRight" activeCell="S16" sqref="S16"/>
    </sheetView>
  </sheetViews>
  <sheetFormatPr defaultColWidth="9" defaultRowHeight="14.25"/>
  <cols>
    <col min="1" max="1" width="34" style="29" customWidth="1"/>
    <col min="2" max="3" width="13" style="30" hidden="1" outlineLevel="1"/>
    <col min="4" max="5" width="15.1416666666667" style="30" hidden="1" outlineLevel="1"/>
    <col min="6" max="6" width="15.1416666666667" style="30" collapsed="1"/>
    <col min="7" max="8" width="15.1416666666667" style="30"/>
    <col min="9" max="10" width="12.625" style="29"/>
    <col min="11" max="15" width="13.75" style="29"/>
    <col min="16" max="17" width="9" style="29"/>
    <col min="18" max="28" width="16.575" style="30"/>
    <col min="29" max="91" width="9" style="52"/>
  </cols>
  <sheetData>
    <row r="1" spans="2:28">
      <c r="B1" s="33">
        <v>2012</v>
      </c>
      <c r="C1" s="33">
        <v>2013</v>
      </c>
      <c r="D1" s="33">
        <v>2014</v>
      </c>
      <c r="E1" s="33">
        <v>2015</v>
      </c>
      <c r="F1" s="45">
        <v>2016</v>
      </c>
      <c r="G1" s="45">
        <v>2017</v>
      </c>
      <c r="H1" s="45">
        <v>2018</v>
      </c>
      <c r="I1" s="38">
        <v>2019</v>
      </c>
      <c r="J1" s="38">
        <v>2020</v>
      </c>
      <c r="K1" s="38">
        <v>2021</v>
      </c>
      <c r="L1" s="38">
        <v>2022</v>
      </c>
      <c r="M1" s="38">
        <v>2023</v>
      </c>
      <c r="N1" s="38">
        <v>2024</v>
      </c>
      <c r="O1" s="38">
        <v>2025</v>
      </c>
      <c r="P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>
      <c r="A2" s="29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>
      <c r="A3" s="29" t="s">
        <v>80</v>
      </c>
      <c r="B3" s="33"/>
      <c r="C3" s="33"/>
      <c r="D3" s="33"/>
      <c r="E3" s="33"/>
      <c r="F3" s="53">
        <f>F15/F11</f>
        <v>0.0159691629955947</v>
      </c>
      <c r="G3" s="53">
        <f>G15/G11</f>
        <v>0.0149023638232271</v>
      </c>
      <c r="H3" s="53">
        <f>H15/H11</f>
        <v>0.0128571428571429</v>
      </c>
      <c r="I3" s="56">
        <v>0.014</v>
      </c>
      <c r="J3" s="56">
        <v>0.015</v>
      </c>
      <c r="K3" s="53">
        <f>J3</f>
        <v>0.015</v>
      </c>
      <c r="L3" s="53">
        <f>K3</f>
        <v>0.015</v>
      </c>
      <c r="M3" s="53">
        <f>L3</f>
        <v>0.015</v>
      </c>
      <c r="N3" s="53">
        <f>M3</f>
        <v>0.015</v>
      </c>
      <c r="O3" s="53">
        <f>N3</f>
        <v>0.015</v>
      </c>
      <c r="P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>
      <c r="A4" s="29" t="s">
        <v>81</v>
      </c>
      <c r="B4" s="33"/>
      <c r="C4" s="33"/>
      <c r="D4" s="33"/>
      <c r="E4" s="33"/>
      <c r="F4" s="53">
        <f>F16/F11</f>
        <v>0.292400881057269</v>
      </c>
      <c r="G4" s="53">
        <f>G16/G11</f>
        <v>0.31294964028777</v>
      </c>
      <c r="H4" s="53">
        <f>H16/H11</f>
        <v>0.336666666666667</v>
      </c>
      <c r="I4" s="57">
        <v>0.34</v>
      </c>
      <c r="J4" s="57">
        <v>0.34</v>
      </c>
      <c r="K4" s="57">
        <v>0.35</v>
      </c>
      <c r="L4" s="57">
        <v>0.35</v>
      </c>
      <c r="M4" s="57">
        <v>0.35</v>
      </c>
      <c r="N4" s="57">
        <v>0.35</v>
      </c>
      <c r="O4" s="57">
        <v>0.35</v>
      </c>
      <c r="P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>
      <c r="A5" s="29" t="s">
        <v>82</v>
      </c>
      <c r="B5" s="33"/>
      <c r="C5" s="33"/>
      <c r="D5" s="33"/>
      <c r="E5" s="33"/>
      <c r="F5" s="53">
        <f>F17/F11</f>
        <v>0.0732378854625551</v>
      </c>
      <c r="G5" s="53">
        <f>G17/G11</f>
        <v>0.079136690647482</v>
      </c>
      <c r="H5" s="53">
        <f>H17/H11</f>
        <v>0.06</v>
      </c>
      <c r="I5" s="57">
        <v>0.06</v>
      </c>
      <c r="J5" s="54">
        <f t="shared" ref="J5:O5" si="0">I5</f>
        <v>0.06</v>
      </c>
      <c r="K5" s="54">
        <f t="shared" si="0"/>
        <v>0.06</v>
      </c>
      <c r="L5" s="54">
        <f t="shared" si="0"/>
        <v>0.06</v>
      </c>
      <c r="M5" s="54">
        <f t="shared" si="0"/>
        <v>0.06</v>
      </c>
      <c r="N5" s="54">
        <f t="shared" si="0"/>
        <v>0.06</v>
      </c>
      <c r="O5" s="54">
        <f t="shared" si="0"/>
        <v>0.06</v>
      </c>
      <c r="P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>
      <c r="A6" s="29" t="s">
        <v>83</v>
      </c>
      <c r="B6" s="33"/>
      <c r="C6" s="33"/>
      <c r="D6" s="33"/>
      <c r="E6" s="33"/>
      <c r="F6" s="53">
        <f>F18/F11</f>
        <v>0</v>
      </c>
      <c r="G6" s="53">
        <f>G18/G11</f>
        <v>0</v>
      </c>
      <c r="H6" s="53">
        <f>H18/H11</f>
        <v>0.0276190476190476</v>
      </c>
      <c r="I6" s="56">
        <v>0.028</v>
      </c>
      <c r="J6" s="56">
        <v>0.03</v>
      </c>
      <c r="K6" s="54">
        <f>J6</f>
        <v>0.03</v>
      </c>
      <c r="L6" s="54">
        <f>K6</f>
        <v>0.03</v>
      </c>
      <c r="M6" s="54">
        <f>L6</f>
        <v>0.03</v>
      </c>
      <c r="N6" s="54">
        <f>M6</f>
        <v>0.03</v>
      </c>
      <c r="O6" s="54">
        <f>N6</f>
        <v>0.03</v>
      </c>
      <c r="P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>
      <c r="A7" s="29" t="s">
        <v>84</v>
      </c>
      <c r="B7" s="33"/>
      <c r="C7" s="33"/>
      <c r="D7" s="33"/>
      <c r="E7" s="33"/>
      <c r="F7" s="53">
        <f>F19/F11</f>
        <v>-0.013215859030837</v>
      </c>
      <c r="G7" s="53">
        <f>G19/G11</f>
        <v>-0.0159301130524152</v>
      </c>
      <c r="H7" s="53">
        <f>H19/H11</f>
        <v>-0.0142857142857143</v>
      </c>
      <c r="I7" s="56">
        <v>-0.015</v>
      </c>
      <c r="J7" s="53">
        <f t="shared" ref="J7:O7" si="1">I7</f>
        <v>-0.015</v>
      </c>
      <c r="K7" s="53">
        <f t="shared" si="1"/>
        <v>-0.015</v>
      </c>
      <c r="L7" s="53">
        <f t="shared" si="1"/>
        <v>-0.015</v>
      </c>
      <c r="M7" s="53">
        <f t="shared" si="1"/>
        <v>-0.015</v>
      </c>
      <c r="N7" s="53">
        <f t="shared" si="1"/>
        <v>-0.015</v>
      </c>
      <c r="O7" s="53">
        <f t="shared" si="1"/>
        <v>-0.015</v>
      </c>
      <c r="P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>
      <c r="A8" s="29" t="s">
        <v>85</v>
      </c>
      <c r="B8" s="33"/>
      <c r="C8" s="33"/>
      <c r="D8" s="33"/>
      <c r="E8" s="33"/>
      <c r="F8" s="54">
        <f>F31/F30</f>
        <v>0.252857142857143</v>
      </c>
      <c r="G8" s="54">
        <f>G31/G30</f>
        <v>0.254658385093168</v>
      </c>
      <c r="H8" s="54">
        <f>H31/H30</f>
        <v>0.253576072821847</v>
      </c>
      <c r="I8" s="58">
        <v>0.25</v>
      </c>
      <c r="J8" s="54">
        <f t="shared" ref="J8:O8" si="2">I8</f>
        <v>0.25</v>
      </c>
      <c r="K8" s="54">
        <f t="shared" si="2"/>
        <v>0.25</v>
      </c>
      <c r="L8" s="54">
        <f t="shared" si="2"/>
        <v>0.25</v>
      </c>
      <c r="M8" s="54">
        <f t="shared" si="2"/>
        <v>0.25</v>
      </c>
      <c r="N8" s="54">
        <f t="shared" si="2"/>
        <v>0.25</v>
      </c>
      <c r="O8" s="54">
        <f t="shared" si="2"/>
        <v>0.25</v>
      </c>
      <c r="P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2:28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>
      <c r="A11" s="34" t="s">
        <v>34</v>
      </c>
      <c r="B11" s="35">
        <v>9.04</v>
      </c>
      <c r="C11" s="35">
        <v>13.37</v>
      </c>
      <c r="D11" s="35">
        <v>17.74</v>
      </c>
      <c r="E11" s="35">
        <v>18.52</v>
      </c>
      <c r="F11" s="46">
        <v>18.16</v>
      </c>
      <c r="G11" s="46">
        <v>19.46</v>
      </c>
      <c r="H11" s="46">
        <v>21</v>
      </c>
      <c r="I11" s="59">
        <f>业务模型!G4</f>
        <v>23.7704</v>
      </c>
      <c r="J11" s="59">
        <f>业务模型!H4</f>
        <v>25.337624</v>
      </c>
      <c r="K11" s="59">
        <f>业务模型!I4</f>
        <v>30.40497512</v>
      </c>
      <c r="L11" s="59">
        <f>业务模型!J4</f>
        <v>34.5733792184</v>
      </c>
      <c r="M11" s="59">
        <f>业务模型!K4</f>
        <v>40.460620511144</v>
      </c>
      <c r="N11" s="59">
        <f>业务模型!L4</f>
        <v>45.1889165099084</v>
      </c>
      <c r="O11" s="59">
        <f>业务模型!M4</f>
        <v>51.4595583274984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>
      <c r="A12" s="34"/>
      <c r="B12" s="35"/>
      <c r="C12" s="35"/>
      <c r="D12" s="35"/>
      <c r="E12" s="35"/>
      <c r="F12" s="35"/>
      <c r="G12" s="35"/>
      <c r="H12" s="35"/>
      <c r="I12"/>
      <c r="J12"/>
      <c r="K12"/>
      <c r="L12"/>
      <c r="M12"/>
      <c r="N12"/>
      <c r="O12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>
      <c r="A13" s="34" t="s">
        <v>86</v>
      </c>
      <c r="B13" s="35">
        <v>6.75</v>
      </c>
      <c r="C13" s="35">
        <v>9.49</v>
      </c>
      <c r="D13" s="35">
        <v>11.79</v>
      </c>
      <c r="E13" s="35">
        <v>12.13</v>
      </c>
      <c r="F13" s="35">
        <v>11.57</v>
      </c>
      <c r="G13" s="35">
        <v>13.8</v>
      </c>
      <c r="H13" s="35">
        <v>13.93</v>
      </c>
      <c r="I13" s="48">
        <f>SUM(I14:I19)</f>
        <v>15.82589652</v>
      </c>
      <c r="J13" s="48">
        <f t="shared" ref="J13:O13" si="3">SUM(J14:J19)</f>
        <v>16.9384601832</v>
      </c>
      <c r="K13" s="48">
        <f t="shared" si="3"/>
        <v>20.580639592152</v>
      </c>
      <c r="L13" s="48">
        <f t="shared" si="3"/>
        <v>23.3787931159322</v>
      </c>
      <c r="M13" s="48">
        <f t="shared" si="3"/>
        <v>27.3429827182713</v>
      </c>
      <c r="N13" s="48">
        <f t="shared" si="3"/>
        <v>30.5092888183065</v>
      </c>
      <c r="O13" s="48">
        <f t="shared" si="3"/>
        <v>34.7221700477423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>
      <c r="A14" s="34" t="s">
        <v>87</v>
      </c>
      <c r="B14" s="35">
        <v>2.78</v>
      </c>
      <c r="C14" s="35">
        <v>3.67</v>
      </c>
      <c r="D14" s="35">
        <v>4.69</v>
      </c>
      <c r="E14" s="35">
        <v>4.71</v>
      </c>
      <c r="F14" s="35">
        <v>4.53</v>
      </c>
      <c r="G14" s="35">
        <v>4.9</v>
      </c>
      <c r="H14" s="35">
        <v>5.48</v>
      </c>
      <c r="I14" s="48">
        <f>业务模型!G19</f>
        <v>5.67593572</v>
      </c>
      <c r="J14" s="48">
        <f>业务模型!H19</f>
        <v>6.0432818632</v>
      </c>
      <c r="K14" s="48">
        <f>业务模型!I19</f>
        <v>7.202450539352</v>
      </c>
      <c r="L14" s="48">
        <f>业务模型!J19</f>
        <v>8.16650625983624</v>
      </c>
      <c r="M14" s="48">
        <f>业务模型!K19</f>
        <v>9.54030969336793</v>
      </c>
      <c r="N14" s="48">
        <f>业务模型!L19</f>
        <v>10.6261655539468</v>
      </c>
      <c r="O14" s="48">
        <f>业务模型!M19</f>
        <v>12.079964383643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>
      <c r="A15" s="34" t="s">
        <v>88</v>
      </c>
      <c r="B15" s="35">
        <v>0.12</v>
      </c>
      <c r="C15" s="35">
        <v>0.18</v>
      </c>
      <c r="D15" s="35">
        <v>0.27</v>
      </c>
      <c r="E15" s="35">
        <v>0.26</v>
      </c>
      <c r="F15" s="35">
        <v>0.29</v>
      </c>
      <c r="G15" s="35">
        <v>0.29</v>
      </c>
      <c r="H15" s="35">
        <v>0.27</v>
      </c>
      <c r="I15" s="48">
        <f>I11*I3</f>
        <v>0.3327856</v>
      </c>
      <c r="J15" s="48">
        <f t="shared" ref="J15:O15" si="4">J11*J3</f>
        <v>0.38006436</v>
      </c>
      <c r="K15" s="48">
        <f t="shared" si="4"/>
        <v>0.4560746268</v>
      </c>
      <c r="L15" s="48">
        <f t="shared" si="4"/>
        <v>0.518600688276</v>
      </c>
      <c r="M15" s="48">
        <f t="shared" si="4"/>
        <v>0.60690930766716</v>
      </c>
      <c r="N15" s="48">
        <f t="shared" si="4"/>
        <v>0.677833747648626</v>
      </c>
      <c r="O15" s="48">
        <f t="shared" si="4"/>
        <v>0.771893374912476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>
      <c r="A16" s="34" t="s">
        <v>89</v>
      </c>
      <c r="B16" s="35">
        <v>2.9</v>
      </c>
      <c r="C16" s="35">
        <v>4.31</v>
      </c>
      <c r="D16" s="35">
        <v>5.23</v>
      </c>
      <c r="E16" s="35">
        <v>5.32</v>
      </c>
      <c r="F16" s="35">
        <v>5.31</v>
      </c>
      <c r="G16" s="35">
        <v>6.09</v>
      </c>
      <c r="H16" s="35">
        <v>7.07</v>
      </c>
      <c r="I16" s="48">
        <f>I11*I4</f>
        <v>8.081936</v>
      </c>
      <c r="J16" s="48">
        <f t="shared" ref="J16:O16" si="5">J11*J4</f>
        <v>8.61479216</v>
      </c>
      <c r="K16" s="48">
        <f t="shared" si="5"/>
        <v>10.641741292</v>
      </c>
      <c r="L16" s="48">
        <f t="shared" si="5"/>
        <v>12.10068272644</v>
      </c>
      <c r="M16" s="48">
        <f t="shared" si="5"/>
        <v>14.1612171789004</v>
      </c>
      <c r="N16" s="48">
        <f t="shared" si="5"/>
        <v>15.8161207784679</v>
      </c>
      <c r="O16" s="48">
        <f t="shared" si="5"/>
        <v>18.0108454146244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>
      <c r="A17" s="34" t="s">
        <v>90</v>
      </c>
      <c r="B17" s="35">
        <v>0.78</v>
      </c>
      <c r="C17" s="35">
        <v>1.08</v>
      </c>
      <c r="D17" s="35">
        <v>1.43</v>
      </c>
      <c r="E17" s="35">
        <v>1.7</v>
      </c>
      <c r="F17" s="35">
        <v>1.33</v>
      </c>
      <c r="G17" s="35">
        <v>1.54</v>
      </c>
      <c r="H17" s="35">
        <v>1.26</v>
      </c>
      <c r="I17" s="48">
        <f>I11*I5</f>
        <v>1.426224</v>
      </c>
      <c r="J17" s="48">
        <f t="shared" ref="J17:O17" si="6">J11*J5</f>
        <v>1.52025744</v>
      </c>
      <c r="K17" s="48">
        <f t="shared" si="6"/>
        <v>1.8242985072</v>
      </c>
      <c r="L17" s="48">
        <f t="shared" si="6"/>
        <v>2.074402753104</v>
      </c>
      <c r="M17" s="48">
        <f t="shared" si="6"/>
        <v>2.42763723066864</v>
      </c>
      <c r="N17" s="48">
        <f t="shared" si="6"/>
        <v>2.7113349905945</v>
      </c>
      <c r="O17" s="48">
        <f t="shared" si="6"/>
        <v>3.0875734996499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>
      <c r="A18" s="34" t="s">
        <v>91</v>
      </c>
      <c r="H18" s="35">
        <v>0.58</v>
      </c>
      <c r="I18" s="48">
        <f>I11*I6</f>
        <v>0.6655712</v>
      </c>
      <c r="J18" s="48">
        <f t="shared" ref="J18:O18" si="7">J11*J6</f>
        <v>0.76012872</v>
      </c>
      <c r="K18" s="48">
        <f t="shared" si="7"/>
        <v>0.9121492536</v>
      </c>
      <c r="L18" s="48">
        <f t="shared" si="7"/>
        <v>1.037201376552</v>
      </c>
      <c r="M18" s="48">
        <f t="shared" si="7"/>
        <v>1.21381861533432</v>
      </c>
      <c r="N18" s="48">
        <f t="shared" si="7"/>
        <v>1.35566749529725</v>
      </c>
      <c r="O18" s="48">
        <f t="shared" si="7"/>
        <v>1.54378674982495</v>
      </c>
      <c r="T18" s="35"/>
      <c r="X18" s="35"/>
      <c r="Y18" s="35"/>
      <c r="Z18" s="35"/>
      <c r="AA18" s="35"/>
      <c r="AB18" s="35"/>
    </row>
    <row r="19" spans="1:28">
      <c r="A19" s="34" t="s">
        <v>92</v>
      </c>
      <c r="B19" s="35">
        <v>0.02</v>
      </c>
      <c r="C19" s="35">
        <v>0.02</v>
      </c>
      <c r="D19" s="35">
        <v>0.01</v>
      </c>
      <c r="E19" s="35">
        <v>-0.07</v>
      </c>
      <c r="F19" s="35">
        <v>-0.24</v>
      </c>
      <c r="G19" s="35">
        <v>-0.31</v>
      </c>
      <c r="H19" s="35">
        <v>-0.3</v>
      </c>
      <c r="I19" s="48">
        <f>I11*I7</f>
        <v>-0.356556</v>
      </c>
      <c r="J19" s="48">
        <f t="shared" ref="J19:O19" si="8">J11*J7</f>
        <v>-0.38006436</v>
      </c>
      <c r="K19" s="48">
        <f t="shared" si="8"/>
        <v>-0.4560746268</v>
      </c>
      <c r="L19" s="48">
        <f t="shared" si="8"/>
        <v>-0.518600688276</v>
      </c>
      <c r="M19" s="48">
        <f t="shared" si="8"/>
        <v>-0.60690930766716</v>
      </c>
      <c r="N19" s="48">
        <f t="shared" si="8"/>
        <v>-0.677833747648626</v>
      </c>
      <c r="O19" s="48">
        <f t="shared" si="8"/>
        <v>-0.771893374912476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15">
      <c r="A20" s="34" t="s">
        <v>93</v>
      </c>
      <c r="I20"/>
      <c r="J20"/>
      <c r="K20"/>
      <c r="L20"/>
      <c r="M20"/>
      <c r="N20"/>
      <c r="O20"/>
    </row>
    <row r="21" spans="1:28">
      <c r="A21" s="34" t="s">
        <v>94</v>
      </c>
      <c r="H21" s="35">
        <v>0.3</v>
      </c>
      <c r="I21"/>
      <c r="J21"/>
      <c r="K21"/>
      <c r="L21"/>
      <c r="M21"/>
      <c r="N21"/>
      <c r="O21"/>
      <c r="T21" s="35"/>
      <c r="X21" s="35"/>
      <c r="Y21" s="35"/>
      <c r="Z21" s="35"/>
      <c r="AA21" s="35"/>
      <c r="AB21" s="35"/>
    </row>
    <row r="22" spans="1:28">
      <c r="A22" s="34" t="s">
        <v>95</v>
      </c>
      <c r="H22" s="35">
        <v>0.02</v>
      </c>
      <c r="I22"/>
      <c r="J22"/>
      <c r="K22"/>
      <c r="L22"/>
      <c r="M22"/>
      <c r="N22"/>
      <c r="O22"/>
      <c r="Y22" s="35"/>
      <c r="Z22" s="35"/>
      <c r="AA22" s="35"/>
      <c r="AB22" s="35"/>
    </row>
    <row r="23" spans="1:28">
      <c r="A23" s="34" t="s">
        <v>96</v>
      </c>
      <c r="C23" s="35">
        <v>0.05</v>
      </c>
      <c r="D23" s="35">
        <v>0.2</v>
      </c>
      <c r="E23" s="35">
        <v>0.12</v>
      </c>
      <c r="F23" s="35">
        <v>0.01</v>
      </c>
      <c r="H23" s="35">
        <v>0.16</v>
      </c>
      <c r="I23"/>
      <c r="J23"/>
      <c r="K23"/>
      <c r="L23"/>
      <c r="M23"/>
      <c r="N23"/>
      <c r="O23"/>
      <c r="Y23" s="35"/>
      <c r="AA23" s="35"/>
      <c r="AB23" s="35"/>
    </row>
    <row r="24" spans="1:28">
      <c r="A24" s="34" t="s">
        <v>97</v>
      </c>
      <c r="B24" s="35">
        <v>0.16</v>
      </c>
      <c r="C24" s="35">
        <v>0.22</v>
      </c>
      <c r="D24" s="35">
        <v>0.16</v>
      </c>
      <c r="E24" s="35">
        <v>0.2</v>
      </c>
      <c r="F24" s="35">
        <v>0.36</v>
      </c>
      <c r="G24" s="35">
        <v>1.3</v>
      </c>
      <c r="H24" s="35">
        <v>-0.43</v>
      </c>
      <c r="I24"/>
      <c r="J24"/>
      <c r="K24"/>
      <c r="L24"/>
      <c r="M24"/>
      <c r="N24"/>
      <c r="O2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15">
      <c r="A25" s="34" t="s">
        <v>98</v>
      </c>
      <c r="I25"/>
      <c r="J25"/>
      <c r="K25"/>
      <c r="L25"/>
      <c r="M25"/>
      <c r="N25"/>
      <c r="O25"/>
    </row>
    <row r="26" spans="1:27">
      <c r="A26" s="34" t="s">
        <v>99</v>
      </c>
      <c r="E26" s="35">
        <v>0</v>
      </c>
      <c r="G26" s="35">
        <v>0</v>
      </c>
      <c r="H26" s="35">
        <v>0</v>
      </c>
      <c r="I26"/>
      <c r="J26"/>
      <c r="K26"/>
      <c r="L26"/>
      <c r="M26"/>
      <c r="N26"/>
      <c r="O26"/>
      <c r="R26" s="35"/>
      <c r="S26" s="35"/>
      <c r="U26" s="35"/>
      <c r="W26" s="35"/>
      <c r="X26" s="35"/>
      <c r="Y26" s="35"/>
      <c r="Z26" s="35"/>
      <c r="AA26" s="35"/>
    </row>
    <row r="27" spans="1:28">
      <c r="A27" s="34" t="s">
        <v>100</v>
      </c>
      <c r="B27" s="35">
        <v>2.29</v>
      </c>
      <c r="C27" s="35">
        <v>3.92</v>
      </c>
      <c r="D27" s="35">
        <v>6.15</v>
      </c>
      <c r="E27" s="35">
        <v>6.5</v>
      </c>
      <c r="F27" s="35">
        <v>6.59</v>
      </c>
      <c r="G27" s="35">
        <v>5.65</v>
      </c>
      <c r="H27" s="35">
        <v>7.25</v>
      </c>
      <c r="I27" s="48">
        <f>I11-I13</f>
        <v>7.94450348</v>
      </c>
      <c r="J27" s="48">
        <f t="shared" ref="J27:O27" si="9">J11-J13</f>
        <v>8.3991638168</v>
      </c>
      <c r="K27" s="48">
        <f t="shared" si="9"/>
        <v>9.824335527848</v>
      </c>
      <c r="L27" s="48">
        <f t="shared" si="9"/>
        <v>11.1945861024678</v>
      </c>
      <c r="M27" s="48">
        <f t="shared" si="9"/>
        <v>13.1176377928727</v>
      </c>
      <c r="N27" s="48">
        <f t="shared" si="9"/>
        <v>14.6796276916019</v>
      </c>
      <c r="O27" s="48">
        <f t="shared" si="9"/>
        <v>16.7373882797561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>
      <c r="A28" s="34" t="s">
        <v>101</v>
      </c>
      <c r="B28" s="35">
        <v>0.07</v>
      </c>
      <c r="C28" s="35">
        <v>0.07</v>
      </c>
      <c r="D28" s="35">
        <v>0.03</v>
      </c>
      <c r="E28" s="35">
        <v>0.28</v>
      </c>
      <c r="F28" s="35">
        <v>0.42</v>
      </c>
      <c r="G28" s="35">
        <v>0.8</v>
      </c>
      <c r="H28" s="35">
        <v>0.47</v>
      </c>
      <c r="I28" s="48">
        <f>H28*1.05</f>
        <v>0.4935</v>
      </c>
      <c r="J28" s="48">
        <f t="shared" ref="J28:O28" si="10">I28*1.05</f>
        <v>0.518175</v>
      </c>
      <c r="K28" s="48">
        <f t="shared" si="10"/>
        <v>0.54408375</v>
      </c>
      <c r="L28" s="48">
        <f t="shared" si="10"/>
        <v>0.5712879375</v>
      </c>
      <c r="M28" s="48">
        <f t="shared" si="10"/>
        <v>0.599852334375</v>
      </c>
      <c r="N28" s="48">
        <f t="shared" si="10"/>
        <v>0.62984495109375</v>
      </c>
      <c r="O28" s="48">
        <f t="shared" si="10"/>
        <v>0.661337198648438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>
      <c r="A29" s="34" t="s">
        <v>102</v>
      </c>
      <c r="B29" s="35">
        <v>0</v>
      </c>
      <c r="C29" s="35">
        <v>0.02</v>
      </c>
      <c r="D29" s="35">
        <v>0.01</v>
      </c>
      <c r="E29" s="35">
        <v>0.02</v>
      </c>
      <c r="F29" s="35">
        <v>0.02</v>
      </c>
      <c r="G29" s="35">
        <v>0.01</v>
      </c>
      <c r="H29" s="35">
        <v>0.02</v>
      </c>
      <c r="I29" s="48">
        <v>0.02</v>
      </c>
      <c r="J29" s="48">
        <f t="shared" ref="J29:O29" si="11">I29*1.05</f>
        <v>0.021</v>
      </c>
      <c r="K29" s="48">
        <f t="shared" si="11"/>
        <v>0.02205</v>
      </c>
      <c r="L29" s="48">
        <f t="shared" si="11"/>
        <v>0.0231525</v>
      </c>
      <c r="M29" s="48">
        <f t="shared" si="11"/>
        <v>0.024310125</v>
      </c>
      <c r="N29" s="48">
        <f t="shared" si="11"/>
        <v>0.02552563125</v>
      </c>
      <c r="O29" s="48">
        <f t="shared" si="11"/>
        <v>0.0268019128125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>
      <c r="A30" s="34" t="s">
        <v>103</v>
      </c>
      <c r="B30" s="35">
        <v>2.36</v>
      </c>
      <c r="C30" s="35">
        <v>3.98</v>
      </c>
      <c r="D30" s="35">
        <v>6.17</v>
      </c>
      <c r="E30" s="35">
        <v>6.77</v>
      </c>
      <c r="F30" s="35">
        <v>7</v>
      </c>
      <c r="G30" s="35">
        <v>6.44</v>
      </c>
      <c r="H30" s="35">
        <v>7.69</v>
      </c>
      <c r="I30" s="48">
        <f>I27+I28-I29</f>
        <v>8.41800348</v>
      </c>
      <c r="J30" s="48">
        <f t="shared" ref="J30:O30" si="12">J27+J28-J29</f>
        <v>8.8963388168</v>
      </c>
      <c r="K30" s="48">
        <f t="shared" si="12"/>
        <v>10.346369277848</v>
      </c>
      <c r="L30" s="48">
        <f t="shared" si="12"/>
        <v>11.7427215399678</v>
      </c>
      <c r="M30" s="48">
        <f t="shared" si="12"/>
        <v>13.6931800022477</v>
      </c>
      <c r="N30" s="48">
        <f t="shared" si="12"/>
        <v>15.2839470114457</v>
      </c>
      <c r="O30" s="48">
        <f t="shared" si="12"/>
        <v>17.3719235655921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>
      <c r="A31" s="34" t="s">
        <v>104</v>
      </c>
      <c r="B31" s="35">
        <v>0.61</v>
      </c>
      <c r="C31" s="35">
        <v>1.07</v>
      </c>
      <c r="D31" s="35">
        <v>1.55</v>
      </c>
      <c r="E31" s="35">
        <v>1.74</v>
      </c>
      <c r="F31" s="35">
        <v>1.77</v>
      </c>
      <c r="G31" s="35">
        <v>1.64</v>
      </c>
      <c r="H31" s="35">
        <v>1.95</v>
      </c>
      <c r="I31" s="47">
        <f>I30*I8</f>
        <v>2.10450087</v>
      </c>
      <c r="J31" s="47">
        <f t="shared" ref="J31:O31" si="13">J30*J8</f>
        <v>2.2240847042</v>
      </c>
      <c r="K31" s="47">
        <f t="shared" si="13"/>
        <v>2.586592319462</v>
      </c>
      <c r="L31" s="47">
        <f t="shared" si="13"/>
        <v>2.93568038499194</v>
      </c>
      <c r="M31" s="47">
        <f t="shared" si="13"/>
        <v>3.42329500056193</v>
      </c>
      <c r="N31" s="47">
        <f t="shared" si="13"/>
        <v>3.82098675286141</v>
      </c>
      <c r="O31" s="47">
        <f t="shared" si="13"/>
        <v>4.34298089139801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>
      <c r="A32" s="34" t="s">
        <v>105</v>
      </c>
      <c r="B32" s="35">
        <v>1.75</v>
      </c>
      <c r="C32" s="35">
        <v>2.91</v>
      </c>
      <c r="D32" s="35">
        <v>4.62</v>
      </c>
      <c r="E32" s="35">
        <v>5.03</v>
      </c>
      <c r="F32" s="35">
        <v>5.22</v>
      </c>
      <c r="G32" s="35">
        <v>4.8</v>
      </c>
      <c r="H32" s="35">
        <v>5.74</v>
      </c>
      <c r="I32" s="47">
        <f>I30-I31</f>
        <v>6.31350261</v>
      </c>
      <c r="J32" s="47">
        <f t="shared" ref="J32:O32" si="14">J30-J31</f>
        <v>6.6722541126</v>
      </c>
      <c r="K32" s="47">
        <f t="shared" si="14"/>
        <v>7.759776958386</v>
      </c>
      <c r="L32" s="47">
        <f t="shared" si="14"/>
        <v>8.80704115497582</v>
      </c>
      <c r="M32" s="47">
        <f t="shared" si="14"/>
        <v>10.2698850016858</v>
      </c>
      <c r="N32" s="47">
        <f t="shared" si="14"/>
        <v>11.4629602585842</v>
      </c>
      <c r="O32" s="47">
        <f t="shared" si="14"/>
        <v>13.028942674194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>
      <c r="A33" s="34" t="s">
        <v>106</v>
      </c>
      <c r="F33" s="35">
        <v>0</v>
      </c>
      <c r="G33" s="35">
        <v>0</v>
      </c>
      <c r="H33" s="35">
        <v>0</v>
      </c>
      <c r="I33"/>
      <c r="J33"/>
      <c r="K33"/>
      <c r="L33"/>
      <c r="M33"/>
      <c r="N33"/>
      <c r="O33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>
      <c r="A34" s="34" t="s">
        <v>107</v>
      </c>
      <c r="B34" s="35">
        <v>1.75</v>
      </c>
      <c r="C34" s="35">
        <v>2.91</v>
      </c>
      <c r="D34" s="35">
        <v>4.62</v>
      </c>
      <c r="E34" s="35">
        <v>5.03</v>
      </c>
      <c r="F34" s="46">
        <v>5.22</v>
      </c>
      <c r="G34" s="46">
        <v>4.8</v>
      </c>
      <c r="H34" s="46">
        <v>5.74</v>
      </c>
      <c r="I34" s="50">
        <f>I32</f>
        <v>6.31350261</v>
      </c>
      <c r="J34" s="50">
        <f t="shared" ref="J34:O34" si="15">J32</f>
        <v>6.6722541126</v>
      </c>
      <c r="K34" s="50">
        <f t="shared" si="15"/>
        <v>7.759776958386</v>
      </c>
      <c r="L34" s="50">
        <f t="shared" si="15"/>
        <v>8.80704115497582</v>
      </c>
      <c r="M34" s="50">
        <f t="shared" si="15"/>
        <v>10.2698850016858</v>
      </c>
      <c r="N34" s="50">
        <f t="shared" si="15"/>
        <v>11.4629602585842</v>
      </c>
      <c r="O34" s="50">
        <f t="shared" si="15"/>
        <v>13.028942674194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>
      <c r="A35" s="34" t="s">
        <v>108</v>
      </c>
      <c r="I35"/>
      <c r="J35"/>
      <c r="K35"/>
      <c r="L35"/>
      <c r="M35"/>
      <c r="N35"/>
      <c r="O3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>
      <c r="A36" s="34" t="s">
        <v>109</v>
      </c>
      <c r="C36" s="55">
        <v>0.88</v>
      </c>
      <c r="D36" s="55">
        <v>1.36</v>
      </c>
      <c r="E36" s="55">
        <v>1.48</v>
      </c>
      <c r="F36" s="55">
        <v>1.54</v>
      </c>
      <c r="G36" s="55">
        <v>1.41</v>
      </c>
      <c r="H36" s="55">
        <v>1.55</v>
      </c>
      <c r="I36" s="48">
        <f>I34/4.01</f>
        <v>1.57443955361596</v>
      </c>
      <c r="J36" s="48">
        <f t="shared" ref="J36:O36" si="16">J34/4.01</f>
        <v>1.66390376872818</v>
      </c>
      <c r="K36" s="48">
        <f t="shared" si="16"/>
        <v>1.93510647341297</v>
      </c>
      <c r="L36" s="48">
        <f t="shared" si="16"/>
        <v>2.19626961470719</v>
      </c>
      <c r="M36" s="48">
        <f t="shared" si="16"/>
        <v>2.56106857897401</v>
      </c>
      <c r="N36" s="48">
        <f t="shared" si="16"/>
        <v>2.85859358069432</v>
      </c>
      <c r="O36" s="48">
        <f t="shared" si="16"/>
        <v>3.24911288633268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>
      <c r="A37" s="34"/>
      <c r="B37" s="33"/>
      <c r="C37" s="33"/>
      <c r="D37" s="33"/>
      <c r="E37" s="33"/>
      <c r="F37" s="33"/>
      <c r="G37" s="33"/>
      <c r="H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8">
      <c r="A38" s="34"/>
      <c r="B38" s="33"/>
      <c r="C38" s="33"/>
      <c r="D38" s="33"/>
      <c r="E38" s="33"/>
      <c r="F38" s="33"/>
      <c r="G38" s="33"/>
      <c r="H38" s="33"/>
    </row>
    <row r="39" spans="1:28">
      <c r="A39" s="34" t="s">
        <v>110</v>
      </c>
      <c r="B39" s="33"/>
      <c r="C39" s="33"/>
      <c r="D39" s="33"/>
      <c r="E39" s="33"/>
      <c r="F39" s="33"/>
      <c r="G39" s="33"/>
      <c r="H39" s="33"/>
      <c r="I39" s="48">
        <f>I34*0.35</f>
        <v>2.2097259135</v>
      </c>
      <c r="J39" s="48">
        <f t="shared" ref="J39:O39" si="17">J34*0.35</f>
        <v>2.33528893941</v>
      </c>
      <c r="K39" s="48">
        <f t="shared" si="17"/>
        <v>2.7159219354351</v>
      </c>
      <c r="L39" s="48">
        <f t="shared" si="17"/>
        <v>3.08246440424154</v>
      </c>
      <c r="M39" s="48">
        <f t="shared" si="17"/>
        <v>3.59445975059002</v>
      </c>
      <c r="N39" s="48">
        <f t="shared" si="17"/>
        <v>4.01203609050448</v>
      </c>
      <c r="O39" s="48">
        <f t="shared" si="17"/>
        <v>4.56012993596791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8">
      <c r="A40" s="34"/>
      <c r="B40" s="33"/>
      <c r="C40" s="33"/>
      <c r="D40" s="33"/>
      <c r="E40" s="33"/>
      <c r="F40" s="33"/>
      <c r="G40" s="33"/>
      <c r="H40" s="33"/>
    </row>
    <row r="41" spans="1:8">
      <c r="A41" s="34"/>
      <c r="D41" s="33"/>
      <c r="E41" s="33"/>
      <c r="F41" s="33"/>
      <c r="G41" s="33"/>
      <c r="H41" s="33"/>
    </row>
    <row r="42" spans="1:1">
      <c r="A42" s="34"/>
    </row>
    <row r="43" spans="1:8">
      <c r="A43" s="34"/>
      <c r="D43" s="33"/>
      <c r="E43" s="33"/>
      <c r="F43" s="33"/>
      <c r="G43" s="33"/>
      <c r="H43" s="33"/>
    </row>
    <row r="44" spans="1:1">
      <c r="A44" s="34"/>
    </row>
    <row r="45" spans="1:1">
      <c r="A45" s="34"/>
    </row>
    <row r="46" spans="1:1">
      <c r="A46" s="34"/>
    </row>
    <row r="47" spans="1:8">
      <c r="A47" s="34"/>
      <c r="B47" s="33"/>
      <c r="C47" s="33"/>
      <c r="D47" s="33"/>
      <c r="E47" s="33"/>
      <c r="F47" s="33"/>
      <c r="G47" s="33"/>
      <c r="H47" s="33"/>
    </row>
    <row r="48" spans="1:8">
      <c r="A48" s="34"/>
      <c r="B48" s="33"/>
      <c r="C48" s="33"/>
      <c r="D48" s="33"/>
      <c r="E48" s="33"/>
      <c r="F48" s="33"/>
      <c r="G48" s="33"/>
      <c r="H48" s="33"/>
    </row>
    <row r="63" spans="1:1">
      <c r="A63" s="34" t="s">
        <v>111</v>
      </c>
    </row>
    <row r="64" spans="1:1">
      <c r="A64" s="44" t="s">
        <v>112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workbookViewId="0">
      <pane xSplit="8" ySplit="1" topLeftCell="I25" activePane="bottomRight" state="frozen"/>
      <selection/>
      <selection pane="topRight"/>
      <selection pane="bottomLeft"/>
      <selection pane="bottomRight" activeCell="I56" sqref="I56"/>
    </sheetView>
  </sheetViews>
  <sheetFormatPr defaultColWidth="9" defaultRowHeight="14.25"/>
  <cols>
    <col min="1" max="1" width="49" style="29"/>
    <col min="2" max="3" width="13" style="30" hidden="1" outlineLevel="1"/>
    <col min="4" max="5" width="15.1416666666667" style="30" hidden="1" outlineLevel="1"/>
    <col min="6" max="6" width="15.1416666666667" style="30" collapsed="1"/>
    <col min="7" max="8" width="15.1416666666667" style="30"/>
    <col min="9" max="12" width="12.625" style="2"/>
    <col min="13" max="15" width="13.75" style="2"/>
  </cols>
  <sheetData>
    <row r="1" spans="2:15">
      <c r="B1" s="33">
        <v>2012</v>
      </c>
      <c r="C1" s="33">
        <v>2013</v>
      </c>
      <c r="D1" s="33">
        <v>2014</v>
      </c>
      <c r="E1" s="33">
        <v>2015</v>
      </c>
      <c r="F1" s="45">
        <v>2016</v>
      </c>
      <c r="G1" s="45">
        <v>2017</v>
      </c>
      <c r="H1" s="45">
        <v>2018</v>
      </c>
      <c r="I1" s="38">
        <v>2019</v>
      </c>
      <c r="J1" s="38">
        <v>2020</v>
      </c>
      <c r="K1" s="38">
        <v>2021</v>
      </c>
      <c r="L1" s="38">
        <v>2022</v>
      </c>
      <c r="M1" s="38">
        <v>2023</v>
      </c>
      <c r="N1" s="38">
        <v>2024</v>
      </c>
      <c r="O1" s="38">
        <v>2025</v>
      </c>
    </row>
    <row r="2" spans="1:1">
      <c r="A2" s="34" t="s">
        <v>113</v>
      </c>
    </row>
    <row r="3" spans="1:15">
      <c r="A3" s="34" t="s">
        <v>114</v>
      </c>
      <c r="B3" s="35">
        <v>1.63</v>
      </c>
      <c r="C3" s="35">
        <v>3.66</v>
      </c>
      <c r="D3" s="35">
        <v>5.04</v>
      </c>
      <c r="E3" s="35">
        <v>6.69</v>
      </c>
      <c r="F3" s="35">
        <v>6.63</v>
      </c>
      <c r="G3" s="35">
        <v>9.05</v>
      </c>
      <c r="H3" s="35">
        <v>25.3</v>
      </c>
      <c r="I3" s="47">
        <f>CS!I34</f>
        <v>27.199988005743</v>
      </c>
      <c r="J3" s="47">
        <f>CS!J34</f>
        <v>29.566198409042</v>
      </c>
      <c r="K3" s="47">
        <f>CS!K34</f>
        <v>31.9362203571732</v>
      </c>
      <c r="L3" s="47">
        <f>CS!L34</f>
        <v>46.9715322272948</v>
      </c>
      <c r="M3" s="47">
        <f>CS!M34</f>
        <v>50.3484623908937</v>
      </c>
      <c r="N3" s="47">
        <f>CS!N34</f>
        <v>54.3827744931095</v>
      </c>
      <c r="O3" s="47">
        <f>CS!O34</f>
        <v>59.5255522841979</v>
      </c>
    </row>
    <row r="4" spans="1:1">
      <c r="A4" s="34" t="s">
        <v>115</v>
      </c>
    </row>
    <row r="5" spans="1:8">
      <c r="A5" s="34" t="s">
        <v>116</v>
      </c>
      <c r="H5" s="35">
        <v>0</v>
      </c>
    </row>
    <row r="6" spans="1:15">
      <c r="A6" s="34" t="s">
        <v>117</v>
      </c>
      <c r="B6" s="35">
        <v>0.48</v>
      </c>
      <c r="C6" s="35">
        <v>0.68</v>
      </c>
      <c r="D6" s="35">
        <v>0.43</v>
      </c>
      <c r="E6" s="35">
        <v>0.55</v>
      </c>
      <c r="F6" s="35">
        <v>0.55</v>
      </c>
      <c r="G6" s="35">
        <v>0.55</v>
      </c>
      <c r="H6" s="35">
        <v>0.59</v>
      </c>
      <c r="I6" s="47">
        <f>IS!I11/BS假设!F4</f>
        <v>0.685816503173687</v>
      </c>
      <c r="J6" s="47">
        <f>IS!J11/BS假设!G4</f>
        <v>0.73103358338142</v>
      </c>
      <c r="K6" s="47">
        <f>IS!K11/BS假设!H4</f>
        <v>0.877235289094057</v>
      </c>
      <c r="L6" s="47">
        <f>IS!L11/BS假设!I4</f>
        <v>0.997500843000577</v>
      </c>
      <c r="M6" s="47">
        <f>IS!M11/BS假设!J4</f>
        <v>1.16735777585528</v>
      </c>
      <c r="N6" s="47">
        <f>IS!N11/BS假设!K4</f>
        <v>1.30377716416354</v>
      </c>
      <c r="O6" s="47">
        <f>IS!O11/BS假设!L4</f>
        <v>1.48469585480376</v>
      </c>
    </row>
    <row r="7" spans="1:15">
      <c r="A7" s="34" t="s">
        <v>118</v>
      </c>
      <c r="B7" s="35">
        <v>0.27</v>
      </c>
      <c r="C7" s="35">
        <v>0.26</v>
      </c>
      <c r="D7" s="35">
        <v>0.29</v>
      </c>
      <c r="E7" s="35">
        <v>0.46</v>
      </c>
      <c r="F7" s="35">
        <v>0.51</v>
      </c>
      <c r="G7" s="35">
        <v>1.51</v>
      </c>
      <c r="H7" s="35">
        <v>0.59</v>
      </c>
      <c r="I7" s="47">
        <f>IS!I11/BS假设!F5</f>
        <v>0.667707865168539</v>
      </c>
      <c r="J7" s="47">
        <f>IS!J11/BS假设!G5</f>
        <v>0.711731011235955</v>
      </c>
      <c r="K7" s="47">
        <f>IS!K11/BS假设!H5</f>
        <v>0.85407233483146</v>
      </c>
      <c r="L7" s="47">
        <f>IS!L11/BS假设!I5</f>
        <v>0.971162337595506</v>
      </c>
      <c r="M7" s="47">
        <f>IS!M11/BS假设!J5</f>
        <v>1.1365342840209</v>
      </c>
      <c r="N7" s="47">
        <f>IS!N11/BS假设!K5</f>
        <v>1.26935158735698</v>
      </c>
      <c r="O7" s="47">
        <f>IS!O11/BS假设!L5</f>
        <v>1.44549321144658</v>
      </c>
    </row>
    <row r="8" spans="1:15">
      <c r="A8" s="34" t="s">
        <v>119</v>
      </c>
      <c r="B8" s="35">
        <v>0.41</v>
      </c>
      <c r="C8" s="35">
        <v>0.5</v>
      </c>
      <c r="D8" s="35">
        <v>0.53</v>
      </c>
      <c r="E8" s="35">
        <v>0.5</v>
      </c>
      <c r="F8" s="35">
        <v>0.52</v>
      </c>
      <c r="G8" s="35">
        <v>0.67</v>
      </c>
      <c r="H8" s="35">
        <v>0.68</v>
      </c>
      <c r="I8" s="47">
        <f>IS!I11/BS假设!F6</f>
        <v>0.752227848101266</v>
      </c>
      <c r="J8" s="47">
        <f>IS!J11/BS假设!G6</f>
        <v>0.801823544303797</v>
      </c>
      <c r="K8" s="47">
        <f>IS!K11/BS假设!H6</f>
        <v>0.962182756962025</v>
      </c>
      <c r="L8" s="47">
        <f>IS!L11/BS假设!I6</f>
        <v>1.09409427906329</v>
      </c>
      <c r="M8" s="47">
        <f>IS!M11/BS假设!J6</f>
        <v>1.28039938326405</v>
      </c>
      <c r="N8" s="47">
        <f>IS!N11/BS假设!K6</f>
        <v>1.43002900347811</v>
      </c>
      <c r="O8" s="47">
        <f>IS!O11/BS假设!L6</f>
        <v>1.62846703568033</v>
      </c>
    </row>
    <row r="9" spans="1:15">
      <c r="A9" s="34" t="s">
        <v>120</v>
      </c>
      <c r="B9" s="35">
        <v>1.77</v>
      </c>
      <c r="C9" s="35">
        <v>1.89</v>
      </c>
      <c r="D9" s="35">
        <v>1.95</v>
      </c>
      <c r="E9" s="35">
        <v>2.29</v>
      </c>
      <c r="F9" s="35">
        <v>2.33</v>
      </c>
      <c r="G9" s="35">
        <v>2.55</v>
      </c>
      <c r="H9" s="35">
        <v>2.58</v>
      </c>
      <c r="I9" s="47">
        <f>IS!I11/BS假设!F7</f>
        <v>2.9713</v>
      </c>
      <c r="J9" s="47">
        <f>IS!J11/BS假设!G7</f>
        <v>3.167203</v>
      </c>
      <c r="K9" s="47">
        <f>IS!K11/BS假设!H7</f>
        <v>3.80062189</v>
      </c>
      <c r="L9" s="47">
        <f>IS!L11/BS假设!I7</f>
        <v>4.3216724023</v>
      </c>
      <c r="M9" s="47">
        <f>IS!M11/BS假设!J7</f>
        <v>5.057577563893</v>
      </c>
      <c r="N9" s="47">
        <f>IS!N11/BS假设!K7</f>
        <v>5.64861456373855</v>
      </c>
      <c r="O9" s="47">
        <f>IS!O11/BS假设!L7</f>
        <v>6.4324447909373</v>
      </c>
    </row>
    <row r="10" spans="1:8">
      <c r="A10" s="34" t="s">
        <v>121</v>
      </c>
      <c r="G10" s="35">
        <v>0.02</v>
      </c>
      <c r="H10" s="35">
        <v>0.03</v>
      </c>
    </row>
    <row r="11" spans="1:15">
      <c r="A11" s="34" t="s">
        <v>122</v>
      </c>
      <c r="B11" s="35">
        <v>4.56</v>
      </c>
      <c r="C11" s="35">
        <v>7</v>
      </c>
      <c r="D11" s="35">
        <v>8.25</v>
      </c>
      <c r="E11" s="35">
        <v>10.48</v>
      </c>
      <c r="F11" s="35">
        <v>10.54</v>
      </c>
      <c r="G11" s="35">
        <v>14.35</v>
      </c>
      <c r="H11" s="35">
        <v>29.76</v>
      </c>
      <c r="I11" s="48">
        <f>SUM(I3:I10)</f>
        <v>32.2770402221865</v>
      </c>
      <c r="J11" s="48">
        <f t="shared" ref="J11:O11" si="0">SUM(J3:J10)</f>
        <v>34.9779895479632</v>
      </c>
      <c r="K11" s="48">
        <f t="shared" si="0"/>
        <v>38.4303326280607</v>
      </c>
      <c r="L11" s="48">
        <f t="shared" si="0"/>
        <v>54.3559620892542</v>
      </c>
      <c r="M11" s="48">
        <f t="shared" si="0"/>
        <v>58.9903313979269</v>
      </c>
      <c r="N11" s="48">
        <f t="shared" si="0"/>
        <v>64.0345468118467</v>
      </c>
      <c r="O11" s="48">
        <f t="shared" si="0"/>
        <v>70.5166531770658</v>
      </c>
    </row>
    <row r="12" spans="1:1">
      <c r="A12" s="34" t="s">
        <v>123</v>
      </c>
    </row>
    <row r="13" spans="1:1">
      <c r="A13" s="34" t="s">
        <v>68</v>
      </c>
    </row>
    <row r="14" spans="1:15">
      <c r="A14" s="34" t="s">
        <v>124</v>
      </c>
      <c r="B14" s="35">
        <v>0.2</v>
      </c>
      <c r="C14" s="35">
        <v>0.19</v>
      </c>
      <c r="D14" s="35">
        <v>2.17</v>
      </c>
      <c r="E14" s="35">
        <v>2.06</v>
      </c>
      <c r="F14" s="35">
        <v>1.99</v>
      </c>
      <c r="G14" s="35">
        <v>1.88</v>
      </c>
      <c r="H14" s="35">
        <v>3.84</v>
      </c>
      <c r="I14" s="47">
        <f>资本开支假设!G18</f>
        <v>4.5985704</v>
      </c>
      <c r="J14" s="47">
        <f>资本开支假设!H18</f>
        <v>5.066052128</v>
      </c>
      <c r="K14" s="47">
        <f>资本开支假设!I18</f>
        <v>5.6893872672</v>
      </c>
      <c r="L14" s="47">
        <f>资本开支假设!J18</f>
        <v>6.2714293488</v>
      </c>
      <c r="M14" s="47">
        <f>资本开支假设!K18</f>
        <v>7.0704141515712</v>
      </c>
      <c r="N14" s="47">
        <f>资本开支假设!L18</f>
        <v>7.93780591208947</v>
      </c>
      <c r="O14" s="47">
        <f>资本开支假设!M18</f>
        <v>9.01586280466398</v>
      </c>
    </row>
    <row r="15" spans="1:15">
      <c r="A15" s="34" t="s">
        <v>125</v>
      </c>
      <c r="C15" s="35">
        <v>2.13</v>
      </c>
      <c r="D15" s="35">
        <v>0.01</v>
      </c>
      <c r="E15" s="35">
        <v>0.05</v>
      </c>
      <c r="F15" s="35">
        <v>0.06</v>
      </c>
      <c r="G15" s="35">
        <v>0.32</v>
      </c>
      <c r="H15" s="35">
        <v>1.18</v>
      </c>
      <c r="I15" s="47">
        <f>资本开支假设!G22</f>
        <v>0.6588</v>
      </c>
      <c r="J15" s="47">
        <f>资本开支假设!H22</f>
        <v>1.168608</v>
      </c>
      <c r="K15" s="47">
        <f>资本开支假设!I22</f>
        <v>1.00058528</v>
      </c>
      <c r="L15" s="47">
        <f>资本开支假设!J22</f>
        <v>1.3628789248</v>
      </c>
      <c r="M15" s="47">
        <f>资本开支假设!K22</f>
        <v>1.403439552768</v>
      </c>
      <c r="N15" s="47">
        <f>资本开支假设!L22</f>
        <v>1.72908988121088</v>
      </c>
      <c r="O15" s="47">
        <f>资本开支假设!M22</f>
        <v>1.91699426220462</v>
      </c>
    </row>
    <row r="16" spans="1:15">
      <c r="A16" s="34" t="s">
        <v>126</v>
      </c>
      <c r="B16" s="35">
        <v>0.01</v>
      </c>
      <c r="C16" s="35">
        <v>0.01</v>
      </c>
      <c r="D16" s="35">
        <v>0.01</v>
      </c>
      <c r="E16" s="35">
        <v>0.01</v>
      </c>
      <c r="F16" s="35">
        <v>0.04</v>
      </c>
      <c r="G16" s="35">
        <v>0.12</v>
      </c>
      <c r="H16" s="35">
        <v>0.09</v>
      </c>
      <c r="I16" s="47">
        <f>资本开支假设!G28</f>
        <v>0.1716</v>
      </c>
      <c r="J16" s="47">
        <f>资本开支假设!H28</f>
        <v>0.180648</v>
      </c>
      <c r="K16" s="47">
        <f>资本开支假设!I28</f>
        <v>0.19550544</v>
      </c>
      <c r="L16" s="47">
        <f>资本开支假设!J28</f>
        <v>0.2148942432</v>
      </c>
      <c r="M16" s="47">
        <f>资本开支假设!K28</f>
        <v>0.237817509696</v>
      </c>
      <c r="N16" s="47">
        <f>资本开支假设!L28</f>
        <v>0.26349765756288</v>
      </c>
      <c r="O16" s="47">
        <f>资本开支假设!M28</f>
        <v>0.291328172899046</v>
      </c>
    </row>
    <row r="17" spans="1:15">
      <c r="A17" s="34" t="s">
        <v>127</v>
      </c>
      <c r="B17" s="35">
        <v>0.28</v>
      </c>
      <c r="C17" s="35">
        <v>0.31</v>
      </c>
      <c r="D17" s="35">
        <v>0.4</v>
      </c>
      <c r="E17" s="35">
        <v>0.28</v>
      </c>
      <c r="F17" s="35">
        <v>0.29</v>
      </c>
      <c r="G17" s="35">
        <v>0.37</v>
      </c>
      <c r="H17" s="35">
        <v>0.38</v>
      </c>
      <c r="I17" s="47">
        <f>H17*1.25</f>
        <v>0.475</v>
      </c>
      <c r="J17" s="47">
        <f t="shared" ref="J17:O17" si="1">I17*1.2</f>
        <v>0.57</v>
      </c>
      <c r="K17" s="47">
        <f t="shared" si="1"/>
        <v>0.684</v>
      </c>
      <c r="L17" s="47">
        <f t="shared" si="1"/>
        <v>0.8208</v>
      </c>
      <c r="M17" s="47">
        <f t="shared" si="1"/>
        <v>0.98496</v>
      </c>
      <c r="N17" s="47">
        <f t="shared" si="1"/>
        <v>1.181952</v>
      </c>
      <c r="O17" s="47">
        <f t="shared" si="1"/>
        <v>1.4183424</v>
      </c>
    </row>
    <row r="18" spans="1:15">
      <c r="A18" s="34" t="s">
        <v>128</v>
      </c>
      <c r="B18" s="35">
        <v>0.17</v>
      </c>
      <c r="C18" s="35">
        <v>0.27</v>
      </c>
      <c r="D18" s="35">
        <v>0.23</v>
      </c>
      <c r="E18" s="35">
        <v>0.27</v>
      </c>
      <c r="F18" s="35">
        <v>0.33</v>
      </c>
      <c r="G18" s="35">
        <v>0.57</v>
      </c>
      <c r="H18" s="35">
        <v>0.44</v>
      </c>
      <c r="I18" s="49">
        <f>IS!I34/BS假设!F20</f>
        <v>0.307975737073171</v>
      </c>
      <c r="J18" s="49">
        <f>IS!J34/BS假设!G20</f>
        <v>0.325475810370732</v>
      </c>
      <c r="K18" s="49">
        <f>IS!K34/BS假设!H20</f>
        <v>0.378525705287122</v>
      </c>
      <c r="L18" s="49">
        <f>IS!L34/BS假设!I20</f>
        <v>0.429611763657357</v>
      </c>
      <c r="M18" s="49">
        <f>IS!M34/BS假设!J20</f>
        <v>0.500970000082233</v>
      </c>
      <c r="N18" s="49">
        <f>IS!N34/BS假设!K20</f>
        <v>0.55916879310167</v>
      </c>
      <c r="O18" s="49">
        <f>IS!O34/BS假设!L20</f>
        <v>0.635558179228978</v>
      </c>
    </row>
    <row r="19" spans="1:15">
      <c r="A19" s="34" t="s">
        <v>129</v>
      </c>
      <c r="B19" s="35">
        <v>0.65</v>
      </c>
      <c r="C19" s="35">
        <v>2.91</v>
      </c>
      <c r="D19" s="35">
        <v>2.82</v>
      </c>
      <c r="E19" s="35">
        <v>2.68</v>
      </c>
      <c r="F19" s="35">
        <v>2.71</v>
      </c>
      <c r="G19" s="35">
        <v>3.25</v>
      </c>
      <c r="H19" s="35">
        <v>5.93</v>
      </c>
      <c r="I19" s="47">
        <f>SUM(I13:I18)</f>
        <v>6.21194613707317</v>
      </c>
      <c r="J19" s="47">
        <f t="shared" ref="J19:O19" si="2">SUM(J13:J18)</f>
        <v>7.31078393837073</v>
      </c>
      <c r="K19" s="47">
        <f t="shared" si="2"/>
        <v>7.94800369248712</v>
      </c>
      <c r="L19" s="47">
        <f t="shared" si="2"/>
        <v>9.09961428045736</v>
      </c>
      <c r="M19" s="47">
        <f t="shared" si="2"/>
        <v>10.1976012141174</v>
      </c>
      <c r="N19" s="47">
        <f t="shared" si="2"/>
        <v>11.6715142439649</v>
      </c>
      <c r="O19" s="47">
        <f t="shared" si="2"/>
        <v>13.2780858189966</v>
      </c>
    </row>
    <row r="20" spans="1:15">
      <c r="A20" s="34" t="s">
        <v>130</v>
      </c>
      <c r="B20" s="35">
        <v>5.21</v>
      </c>
      <c r="C20" s="35">
        <v>9.9</v>
      </c>
      <c r="D20" s="35">
        <v>11.06</v>
      </c>
      <c r="E20" s="35">
        <v>13.16</v>
      </c>
      <c r="F20" s="46">
        <v>13.25</v>
      </c>
      <c r="G20" s="46">
        <v>17.6</v>
      </c>
      <c r="H20" s="46">
        <v>35.69</v>
      </c>
      <c r="I20" s="50">
        <f>I11+I19</f>
        <v>38.4889863592597</v>
      </c>
      <c r="J20" s="50">
        <f t="shared" ref="J20:O20" si="3">J11+J19</f>
        <v>42.2887734863339</v>
      </c>
      <c r="K20" s="50">
        <f t="shared" si="3"/>
        <v>46.3783363205478</v>
      </c>
      <c r="L20" s="50">
        <f t="shared" si="3"/>
        <v>63.4555763697116</v>
      </c>
      <c r="M20" s="50">
        <f t="shared" si="3"/>
        <v>69.1879326120443</v>
      </c>
      <c r="N20" s="50">
        <f t="shared" si="3"/>
        <v>75.7060610558116</v>
      </c>
      <c r="O20" s="50">
        <f t="shared" si="3"/>
        <v>83.7947389960625</v>
      </c>
    </row>
    <row r="21" spans="1:1">
      <c r="A21" s="34" t="s">
        <v>131</v>
      </c>
    </row>
    <row r="22" spans="1:1">
      <c r="A22" s="34" t="s">
        <v>132</v>
      </c>
    </row>
    <row r="23" spans="1:8">
      <c r="A23" s="34" t="s">
        <v>133</v>
      </c>
      <c r="H23" s="35">
        <v>0</v>
      </c>
    </row>
    <row r="24" spans="1:15">
      <c r="A24" s="34" t="s">
        <v>134</v>
      </c>
      <c r="B24" s="35">
        <v>0.73</v>
      </c>
      <c r="C24" s="35">
        <v>0.68</v>
      </c>
      <c r="D24" s="35">
        <v>0.82</v>
      </c>
      <c r="E24" s="35">
        <v>0.45</v>
      </c>
      <c r="F24" s="35">
        <v>0.45</v>
      </c>
      <c r="G24" s="35">
        <v>0.48</v>
      </c>
      <c r="H24" s="35">
        <v>0.82</v>
      </c>
      <c r="I24" s="48">
        <f>IS!I11/BS假设!F11</f>
        <v>0.679154285714286</v>
      </c>
      <c r="J24" s="48">
        <f>IS!J11/BS假设!G11</f>
        <v>0.666779578947369</v>
      </c>
      <c r="K24" s="48">
        <f>IS!K11/BS假设!H11</f>
        <v>0.800130924210526</v>
      </c>
      <c r="L24" s="48">
        <f>IS!L11/BS假设!I11</f>
        <v>0.909825768905263</v>
      </c>
      <c r="M24" s="48">
        <f>IS!M11/BS假设!J11</f>
        <v>1.06475317134589</v>
      </c>
      <c r="N24" s="48">
        <f>IS!N11/BS假设!K11</f>
        <v>1.18918201341864</v>
      </c>
      <c r="O24" s="48">
        <f>IS!O11/BS假设!L11</f>
        <v>1.35419890335522</v>
      </c>
    </row>
    <row r="25" spans="1:15">
      <c r="A25" s="34" t="s">
        <v>135</v>
      </c>
      <c r="B25" s="35">
        <v>0.59</v>
      </c>
      <c r="C25" s="35">
        <v>1.04</v>
      </c>
      <c r="D25" s="35">
        <v>1.62</v>
      </c>
      <c r="E25" s="35">
        <v>1.76</v>
      </c>
      <c r="F25" s="35">
        <v>1.54</v>
      </c>
      <c r="G25" s="35">
        <v>1.35</v>
      </c>
      <c r="H25" s="35">
        <v>1.5</v>
      </c>
      <c r="I25" s="48">
        <f>IS!I11/BS假设!F12</f>
        <v>1.69788571428571</v>
      </c>
      <c r="J25" s="48">
        <f>IS!J11/BS假设!G12</f>
        <v>1.80983028571429</v>
      </c>
      <c r="K25" s="48">
        <f>IS!K11/BS假设!H12</f>
        <v>2.17178393714286</v>
      </c>
      <c r="L25" s="48">
        <f>IS!L11/BS假设!I12</f>
        <v>2.46952708702857</v>
      </c>
      <c r="M25" s="48">
        <f>IS!M11/BS假设!J12</f>
        <v>2.89004432222457</v>
      </c>
      <c r="N25" s="48">
        <f>IS!N11/BS假设!K12</f>
        <v>3.22777975070774</v>
      </c>
      <c r="O25" s="48">
        <f>IS!O11/BS假设!L12</f>
        <v>3.67568273767846</v>
      </c>
    </row>
    <row r="26" spans="1:15">
      <c r="A26" s="34" t="s">
        <v>136</v>
      </c>
      <c r="B26" s="35">
        <v>0.19</v>
      </c>
      <c r="C26" s="35">
        <v>0.49</v>
      </c>
      <c r="D26" s="35">
        <v>0.19</v>
      </c>
      <c r="E26" s="35">
        <v>0.27</v>
      </c>
      <c r="F26" s="35">
        <v>0.25</v>
      </c>
      <c r="G26" s="35">
        <v>0.35</v>
      </c>
      <c r="H26" s="35">
        <v>0.45</v>
      </c>
      <c r="I26" s="48">
        <f>IS!I11/BS假设!F13</f>
        <v>0.528231111111111</v>
      </c>
      <c r="J26" s="48">
        <f>IS!J11/BS假设!G13</f>
        <v>0.563058311111111</v>
      </c>
      <c r="K26" s="48">
        <f>IS!K11/BS假设!H13</f>
        <v>0.675666113777778</v>
      </c>
      <c r="L26" s="48">
        <f>IS!L11/BS假设!I13</f>
        <v>0.768297315964444</v>
      </c>
      <c r="M26" s="48">
        <f>IS!M11/BS假设!J13</f>
        <v>0.899124900247644</v>
      </c>
      <c r="N26" s="48">
        <f>IS!N11/BS假设!K13</f>
        <v>1.00419814466463</v>
      </c>
      <c r="O26" s="48">
        <f>IS!O11/BS假设!L13</f>
        <v>1.14354574061108</v>
      </c>
    </row>
    <row r="27" spans="1:15">
      <c r="A27" s="34" t="s">
        <v>137</v>
      </c>
      <c r="B27" s="35">
        <v>0.57</v>
      </c>
      <c r="C27" s="35">
        <v>0.97</v>
      </c>
      <c r="D27" s="35">
        <v>1.43</v>
      </c>
      <c r="E27" s="35">
        <v>1.66</v>
      </c>
      <c r="F27" s="35">
        <v>1.35</v>
      </c>
      <c r="G27" s="35">
        <v>1.04</v>
      </c>
      <c r="H27" s="35">
        <v>0.95</v>
      </c>
      <c r="I27" s="47">
        <f>IS!I11/BS假设!F14</f>
        <v>1.25107368421053</v>
      </c>
      <c r="J27" s="47">
        <f>IS!J11/BS假设!G14</f>
        <v>1.40764577777778</v>
      </c>
      <c r="K27" s="47">
        <f>IS!K11/BS假设!H14</f>
        <v>1.68916528444444</v>
      </c>
      <c r="L27" s="47">
        <f>IS!L11/BS假设!I14</f>
        <v>1.92074328991111</v>
      </c>
      <c r="M27" s="47">
        <f>IS!M11/BS假设!J14</f>
        <v>2.24781225061911</v>
      </c>
      <c r="N27" s="47">
        <f>IS!N11/BS假设!K14</f>
        <v>2.51049536166158</v>
      </c>
      <c r="O27" s="47">
        <f>IS!O11/BS假设!L14</f>
        <v>2.85886435152769</v>
      </c>
    </row>
    <row r="28" spans="1:15">
      <c r="A28" s="34" t="s">
        <v>138</v>
      </c>
      <c r="B28" s="35">
        <v>0.34</v>
      </c>
      <c r="C28" s="35">
        <v>0.36</v>
      </c>
      <c r="D28" s="35">
        <v>0.44</v>
      </c>
      <c r="E28" s="35">
        <v>0.4</v>
      </c>
      <c r="F28" s="35">
        <v>0.52</v>
      </c>
      <c r="G28" s="35">
        <v>0.38</v>
      </c>
      <c r="H28" s="35">
        <v>0.45</v>
      </c>
      <c r="I28" s="48">
        <f>IS!I11/BS假设!F15</f>
        <v>0.540236363636364</v>
      </c>
      <c r="J28" s="48">
        <f>IS!J11/BS假设!G15</f>
        <v>0.575855090909091</v>
      </c>
      <c r="K28" s="48">
        <f>IS!K11/BS假设!H15</f>
        <v>0.691022161818182</v>
      </c>
      <c r="L28" s="48">
        <f>IS!L11/BS假设!I15</f>
        <v>0.7857586186</v>
      </c>
      <c r="M28" s="48">
        <f>IS!M11/BS假设!J15</f>
        <v>0.919559557071454</v>
      </c>
      <c r="N28" s="48">
        <f>IS!N11/BS假设!K15</f>
        <v>1.02702082977065</v>
      </c>
      <c r="O28" s="48">
        <f>IS!O11/BS假设!L15</f>
        <v>1.16953541653405</v>
      </c>
    </row>
    <row r="29" spans="1:15">
      <c r="A29" s="34" t="s">
        <v>139</v>
      </c>
      <c r="B29" s="35">
        <v>0.22</v>
      </c>
      <c r="C29" s="35">
        <v>0.25</v>
      </c>
      <c r="D29" s="35">
        <v>0.31</v>
      </c>
      <c r="E29" s="35">
        <v>0.37</v>
      </c>
      <c r="F29" s="35">
        <v>0.36</v>
      </c>
      <c r="G29" s="35">
        <v>0.44</v>
      </c>
      <c r="H29" s="35">
        <v>0.42</v>
      </c>
      <c r="I29" s="51">
        <f>IS!I11/BS假设!F16</f>
        <v>0.475408</v>
      </c>
      <c r="J29" s="51">
        <f>IS!J11/BS假设!G16</f>
        <v>0.50675248</v>
      </c>
      <c r="K29" s="51">
        <f>IS!K11/BS假设!H16</f>
        <v>0.6080995024</v>
      </c>
      <c r="L29" s="51">
        <f>IS!L11/BS假设!I16</f>
        <v>0.691467584368</v>
      </c>
      <c r="M29" s="51">
        <f>IS!M11/BS假设!J16</f>
        <v>0.80921241022288</v>
      </c>
      <c r="N29" s="51">
        <f>IS!N11/BS假设!K16</f>
        <v>0.903778330198168</v>
      </c>
      <c r="O29" s="51">
        <f>IS!O11/BS假设!L16</f>
        <v>1.02919116654997</v>
      </c>
    </row>
    <row r="30" spans="1:15">
      <c r="A30" s="34" t="s">
        <v>140</v>
      </c>
      <c r="B30" s="35">
        <v>2.65</v>
      </c>
      <c r="C30" s="35">
        <v>3.79</v>
      </c>
      <c r="D30" s="35">
        <v>4.81</v>
      </c>
      <c r="E30" s="35">
        <v>4.91</v>
      </c>
      <c r="F30" s="35">
        <v>4.47</v>
      </c>
      <c r="G30" s="35">
        <v>4.04</v>
      </c>
      <c r="H30" s="35">
        <v>4.59</v>
      </c>
      <c r="I30" s="48">
        <f>SUM(I22:I29)</f>
        <v>5.171989158958</v>
      </c>
      <c r="J30" s="48">
        <f t="shared" ref="J30:O30" si="4">SUM(J22:J29)</f>
        <v>5.52992152445963</v>
      </c>
      <c r="K30" s="48">
        <f t="shared" si="4"/>
        <v>6.63586792379379</v>
      </c>
      <c r="L30" s="48">
        <f t="shared" si="4"/>
        <v>7.54561966477739</v>
      </c>
      <c r="M30" s="48">
        <f t="shared" si="4"/>
        <v>8.83050661173156</v>
      </c>
      <c r="N30" s="48">
        <f t="shared" si="4"/>
        <v>9.86245443042141</v>
      </c>
      <c r="O30" s="48">
        <f t="shared" si="4"/>
        <v>11.2310183162565</v>
      </c>
    </row>
    <row r="31" spans="1:1">
      <c r="A31" s="34" t="s">
        <v>141</v>
      </c>
    </row>
    <row r="32" spans="1:1">
      <c r="A32" s="34" t="s">
        <v>142</v>
      </c>
    </row>
    <row r="33" spans="1:1">
      <c r="A33" s="34" t="s">
        <v>143</v>
      </c>
    </row>
    <row r="34" spans="1:8">
      <c r="A34" s="34" t="s">
        <v>144</v>
      </c>
      <c r="H34" s="35">
        <v>0.01</v>
      </c>
    </row>
    <row r="35" spans="1:15">
      <c r="A35" s="34" t="s">
        <v>145</v>
      </c>
      <c r="D35" s="35">
        <v>0.14</v>
      </c>
      <c r="E35" s="35">
        <v>0.36</v>
      </c>
      <c r="F35" s="35">
        <v>0.25</v>
      </c>
      <c r="G35" s="35">
        <v>0.23</v>
      </c>
      <c r="H35" s="35">
        <v>0.21</v>
      </c>
      <c r="I35" s="33">
        <v>0.2</v>
      </c>
      <c r="J35" s="33">
        <f t="shared" ref="J35:O35" si="5">I35</f>
        <v>0.2</v>
      </c>
      <c r="K35" s="33">
        <f t="shared" si="5"/>
        <v>0.2</v>
      </c>
      <c r="L35" s="33">
        <f t="shared" si="5"/>
        <v>0.2</v>
      </c>
      <c r="M35" s="33">
        <f t="shared" si="5"/>
        <v>0.2</v>
      </c>
      <c r="N35" s="33">
        <f t="shared" si="5"/>
        <v>0.2</v>
      </c>
      <c r="O35" s="33">
        <f t="shared" si="5"/>
        <v>0.2</v>
      </c>
    </row>
    <row r="36" spans="1:15">
      <c r="A36" s="34" t="s">
        <v>146</v>
      </c>
      <c r="C36" s="35">
        <v>0.13</v>
      </c>
      <c r="D36" s="35">
        <v>0.14</v>
      </c>
      <c r="E36" s="35">
        <v>0.36</v>
      </c>
      <c r="F36" s="35">
        <v>0.25</v>
      </c>
      <c r="G36" s="35">
        <v>0.23</v>
      </c>
      <c r="H36" s="35">
        <v>0.22</v>
      </c>
      <c r="I36" s="33">
        <f>SUM(I32:I35)</f>
        <v>0.2</v>
      </c>
      <c r="J36" s="33">
        <f t="shared" ref="J36:O36" si="6">SUM(J32:J35)</f>
        <v>0.2</v>
      </c>
      <c r="K36" s="33">
        <f t="shared" si="6"/>
        <v>0.2</v>
      </c>
      <c r="L36" s="33">
        <f t="shared" si="6"/>
        <v>0.2</v>
      </c>
      <c r="M36" s="33">
        <f t="shared" si="6"/>
        <v>0.2</v>
      </c>
      <c r="N36" s="33">
        <f t="shared" si="6"/>
        <v>0.2</v>
      </c>
      <c r="O36" s="33">
        <f t="shared" si="6"/>
        <v>0.2</v>
      </c>
    </row>
    <row r="37" spans="1:15">
      <c r="A37" s="34" t="s">
        <v>147</v>
      </c>
      <c r="B37" s="35">
        <v>2.65</v>
      </c>
      <c r="C37" s="35">
        <v>3.91</v>
      </c>
      <c r="D37" s="35">
        <v>4.95</v>
      </c>
      <c r="E37" s="35">
        <v>5.27</v>
      </c>
      <c r="F37" s="35">
        <v>4.72</v>
      </c>
      <c r="G37" s="35">
        <v>4.27</v>
      </c>
      <c r="H37" s="35">
        <v>4.81</v>
      </c>
      <c r="I37" s="48">
        <f>I30+I36</f>
        <v>5.371989158958</v>
      </c>
      <c r="J37" s="48">
        <f t="shared" ref="J37:O37" si="7">J30+J36</f>
        <v>5.72992152445963</v>
      </c>
      <c r="K37" s="48">
        <f t="shared" si="7"/>
        <v>6.83586792379379</v>
      </c>
      <c r="L37" s="48">
        <f t="shared" si="7"/>
        <v>7.74561966477739</v>
      </c>
      <c r="M37" s="48">
        <f t="shared" si="7"/>
        <v>9.03050661173156</v>
      </c>
      <c r="N37" s="48">
        <f t="shared" si="7"/>
        <v>10.0624544304214</v>
      </c>
      <c r="O37" s="48">
        <f t="shared" si="7"/>
        <v>11.4310183162565</v>
      </c>
    </row>
    <row r="38" spans="1:1">
      <c r="A38" s="34" t="s">
        <v>148</v>
      </c>
    </row>
    <row r="39" spans="1:8">
      <c r="A39" s="34" t="s">
        <v>149</v>
      </c>
      <c r="B39" s="35">
        <v>0.13</v>
      </c>
      <c r="C39" s="35">
        <v>3.4</v>
      </c>
      <c r="D39" s="35">
        <v>3.4</v>
      </c>
      <c r="E39" s="35">
        <v>3.4</v>
      </c>
      <c r="F39" s="35">
        <v>3.4</v>
      </c>
      <c r="G39" s="35">
        <v>3.4</v>
      </c>
      <c r="H39" s="35">
        <v>4.01</v>
      </c>
    </row>
    <row r="40" spans="1:8">
      <c r="A40" s="34" t="s">
        <v>150</v>
      </c>
      <c r="B40" s="35">
        <v>0.13</v>
      </c>
      <c r="C40" s="35">
        <v>0.43</v>
      </c>
      <c r="D40" s="35">
        <v>0.43</v>
      </c>
      <c r="E40" s="35">
        <v>0.68</v>
      </c>
      <c r="F40" s="35">
        <v>0.68</v>
      </c>
      <c r="G40" s="35">
        <v>0.68</v>
      </c>
      <c r="H40" s="35">
        <v>15.89</v>
      </c>
    </row>
    <row r="41" spans="1:1">
      <c r="A41" s="34" t="s">
        <v>151</v>
      </c>
    </row>
    <row r="42" spans="1:8">
      <c r="A42" s="34" t="s">
        <v>152</v>
      </c>
      <c r="F42" s="35">
        <v>0</v>
      </c>
      <c r="G42" s="35">
        <v>0</v>
      </c>
      <c r="H42" s="35">
        <v>0</v>
      </c>
    </row>
    <row r="43" spans="1:1">
      <c r="A43" s="34" t="s">
        <v>153</v>
      </c>
    </row>
    <row r="44" spans="1:8">
      <c r="A44" s="34" t="s">
        <v>154</v>
      </c>
      <c r="B44" s="35">
        <v>0.06</v>
      </c>
      <c r="C44" s="35">
        <v>0.24</v>
      </c>
      <c r="D44" s="35">
        <v>0.74</v>
      </c>
      <c r="E44" s="35">
        <v>1.15</v>
      </c>
      <c r="F44" s="35">
        <v>1.7</v>
      </c>
      <c r="G44" s="35">
        <v>1.7</v>
      </c>
      <c r="H44" s="35">
        <v>2.08</v>
      </c>
    </row>
    <row r="45" spans="1:1">
      <c r="A45" s="34" t="s">
        <v>155</v>
      </c>
    </row>
    <row r="46" spans="1:8">
      <c r="A46" s="34" t="s">
        <v>156</v>
      </c>
      <c r="B46" s="35">
        <v>2.23</v>
      </c>
      <c r="C46" s="35">
        <v>1.92</v>
      </c>
      <c r="D46" s="35">
        <v>1.55</v>
      </c>
      <c r="E46" s="35">
        <v>2.67</v>
      </c>
      <c r="F46" s="35">
        <v>2.74</v>
      </c>
      <c r="G46" s="35">
        <v>7.54</v>
      </c>
      <c r="H46" s="35">
        <v>8.89</v>
      </c>
    </row>
    <row r="47" spans="1:15">
      <c r="A47" s="34" t="s">
        <v>157</v>
      </c>
      <c r="B47" s="35">
        <v>2.56</v>
      </c>
      <c r="C47" s="35">
        <v>5.99</v>
      </c>
      <c r="D47" s="35">
        <v>6.11</v>
      </c>
      <c r="E47" s="35">
        <v>7.89</v>
      </c>
      <c r="F47" s="35">
        <v>8.51</v>
      </c>
      <c r="G47" s="35">
        <v>13.32</v>
      </c>
      <c r="H47" s="35">
        <v>30.86</v>
      </c>
      <c r="I47" s="47">
        <f>I49</f>
        <v>38.4889863592597</v>
      </c>
      <c r="J47" s="47">
        <f t="shared" ref="J47:O47" si="8">J49</f>
        <v>42.2887734863339</v>
      </c>
      <c r="K47" s="47">
        <f t="shared" si="8"/>
        <v>46.3783363205478</v>
      </c>
      <c r="L47" s="47">
        <f t="shared" si="8"/>
        <v>63.4555763697116</v>
      </c>
      <c r="M47" s="47">
        <f t="shared" si="8"/>
        <v>69.1879326120443</v>
      </c>
      <c r="N47" s="47">
        <f t="shared" si="8"/>
        <v>75.7060610558116</v>
      </c>
      <c r="O47" s="47">
        <f t="shared" si="8"/>
        <v>83.7947389960625</v>
      </c>
    </row>
    <row r="48" spans="1:8">
      <c r="A48" s="34" t="s">
        <v>158</v>
      </c>
      <c r="F48" s="35">
        <v>0.02</v>
      </c>
      <c r="G48" s="35">
        <v>0.02</v>
      </c>
      <c r="H48" s="35">
        <v>0.02</v>
      </c>
    </row>
    <row r="49" spans="1:15">
      <c r="A49" s="34" t="s">
        <v>159</v>
      </c>
      <c r="B49" s="35">
        <v>2.56</v>
      </c>
      <c r="C49" s="35">
        <v>5.99</v>
      </c>
      <c r="D49" s="35">
        <v>6.11</v>
      </c>
      <c r="E49" s="35">
        <v>7.89</v>
      </c>
      <c r="F49" s="35">
        <v>8.53</v>
      </c>
      <c r="G49" s="35">
        <v>13.33</v>
      </c>
      <c r="H49" s="35">
        <v>30.88</v>
      </c>
      <c r="I49" s="47">
        <f>I50</f>
        <v>38.4889863592597</v>
      </c>
      <c r="J49" s="47">
        <f t="shared" ref="J49:O49" si="9">J50</f>
        <v>42.2887734863339</v>
      </c>
      <c r="K49" s="47">
        <f t="shared" si="9"/>
        <v>46.3783363205478</v>
      </c>
      <c r="L49" s="47">
        <f t="shared" si="9"/>
        <v>63.4555763697116</v>
      </c>
      <c r="M49" s="47">
        <f t="shared" si="9"/>
        <v>69.1879326120443</v>
      </c>
      <c r="N49" s="47">
        <f t="shared" si="9"/>
        <v>75.7060610558116</v>
      </c>
      <c r="O49" s="47">
        <f t="shared" si="9"/>
        <v>83.7947389960625</v>
      </c>
    </row>
    <row r="50" spans="1:15">
      <c r="A50" s="34" t="s">
        <v>160</v>
      </c>
      <c r="B50" s="35">
        <v>5.21</v>
      </c>
      <c r="C50" s="35">
        <v>9.9</v>
      </c>
      <c r="D50" s="35">
        <v>11.06</v>
      </c>
      <c r="E50" s="35">
        <v>13.16</v>
      </c>
      <c r="F50" s="46">
        <v>13.25</v>
      </c>
      <c r="G50" s="46">
        <v>17.6</v>
      </c>
      <c r="H50" s="46">
        <v>35.69</v>
      </c>
      <c r="I50" s="50">
        <f>I20</f>
        <v>38.4889863592597</v>
      </c>
      <c r="J50" s="50">
        <f t="shared" ref="J50:O50" si="10">J20</f>
        <v>42.2887734863339</v>
      </c>
      <c r="K50" s="50">
        <f t="shared" si="10"/>
        <v>46.3783363205478</v>
      </c>
      <c r="L50" s="50">
        <f t="shared" si="10"/>
        <v>63.4555763697116</v>
      </c>
      <c r="M50" s="50">
        <f t="shared" si="10"/>
        <v>69.1879326120443</v>
      </c>
      <c r="N50" s="50">
        <f t="shared" si="10"/>
        <v>75.7060610558116</v>
      </c>
      <c r="O50" s="50">
        <f t="shared" si="10"/>
        <v>83.7947389960625</v>
      </c>
    </row>
    <row r="51" spans="1:8">
      <c r="A51" s="34"/>
      <c r="B51" s="33"/>
      <c r="C51" s="33"/>
      <c r="D51" s="33"/>
      <c r="E51" s="33"/>
      <c r="F51" s="33"/>
      <c r="G51" s="33"/>
      <c r="H51" s="33"/>
    </row>
    <row r="52" spans="1:8">
      <c r="A52" s="34"/>
      <c r="B52" s="33"/>
      <c r="C52" s="33"/>
      <c r="D52" s="33"/>
      <c r="E52" s="33"/>
      <c r="F52" s="33"/>
      <c r="G52" s="33"/>
      <c r="H52" s="33"/>
    </row>
    <row r="53" spans="1:8">
      <c r="A53" s="34"/>
      <c r="B53" s="33"/>
      <c r="C53" s="33"/>
      <c r="D53" s="33"/>
      <c r="E53" s="33"/>
      <c r="F53" s="33"/>
      <c r="G53" s="33"/>
      <c r="H53" s="33"/>
    </row>
    <row r="54" spans="1:8">
      <c r="A54" s="34"/>
      <c r="B54" s="33"/>
      <c r="C54" s="33"/>
      <c r="D54" s="33"/>
      <c r="E54" s="33"/>
      <c r="F54" s="33"/>
      <c r="G54" s="33"/>
      <c r="H54" s="33"/>
    </row>
    <row r="55" spans="1:8">
      <c r="A55" s="34"/>
      <c r="D55" s="33"/>
      <c r="E55" s="33"/>
      <c r="F55" s="33"/>
      <c r="G55" s="33"/>
      <c r="H55" s="33"/>
    </row>
    <row r="56" spans="1:1">
      <c r="A56" s="34"/>
    </row>
    <row r="57" spans="1:8">
      <c r="A57" s="34"/>
      <c r="D57" s="33"/>
      <c r="E57" s="33"/>
      <c r="F57" s="33"/>
      <c r="G57" s="33"/>
      <c r="H57" s="33"/>
    </row>
    <row r="58" spans="1:1">
      <c r="A58" s="34"/>
    </row>
    <row r="59" spans="1:1">
      <c r="A59" s="34"/>
    </row>
    <row r="60" spans="1:1">
      <c r="A60" s="34"/>
    </row>
    <row r="61" spans="1:8">
      <c r="A61" s="34"/>
      <c r="B61" s="33"/>
      <c r="C61" s="33"/>
      <c r="D61" s="33"/>
      <c r="E61" s="33"/>
      <c r="F61" s="33"/>
      <c r="G61" s="33"/>
      <c r="H61" s="33"/>
    </row>
    <row r="62" spans="1:8">
      <c r="A62" s="34"/>
      <c r="B62" s="33"/>
      <c r="C62" s="33"/>
      <c r="D62" s="33"/>
      <c r="E62" s="33"/>
      <c r="F62" s="33"/>
      <c r="G62" s="33"/>
      <c r="H62" s="33"/>
    </row>
    <row r="80" spans="1:1">
      <c r="A80" s="34" t="s">
        <v>111</v>
      </c>
    </row>
    <row r="81" spans="1:1">
      <c r="A81" s="44" t="s">
        <v>112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7"/>
  <sheetViews>
    <sheetView showGridLines="0" workbookViewId="0">
      <pane xSplit="8" ySplit="2" topLeftCell="I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4.25"/>
  <cols>
    <col min="1" max="1" width="54.575" style="29"/>
    <col min="2" max="3" width="13" style="30" hidden="1" outlineLevel="1"/>
    <col min="4" max="5" width="15.1416666666667" style="30" hidden="1" outlineLevel="1"/>
    <col min="6" max="6" width="15.1416666666667" style="30" collapsed="1"/>
    <col min="7" max="8" width="15.1416666666667" style="30"/>
    <col min="9" max="9" width="10.25" style="30" customWidth="1"/>
    <col min="10" max="10" width="10.125" style="30" customWidth="1"/>
    <col min="11" max="12" width="13.75" style="31"/>
    <col min="13" max="13" width="12.625" style="31"/>
    <col min="14" max="15" width="13.75" style="31"/>
    <col min="17" max="27" width="16.575" style="32"/>
  </cols>
  <sheetData>
    <row r="1" spans="2:27">
      <c r="B1" s="33">
        <v>2012</v>
      </c>
      <c r="C1" s="33">
        <v>2013</v>
      </c>
      <c r="D1" s="33">
        <v>2014</v>
      </c>
      <c r="E1" s="33">
        <v>2015</v>
      </c>
      <c r="F1" s="33">
        <v>2016</v>
      </c>
      <c r="G1" s="33">
        <v>2017</v>
      </c>
      <c r="H1" s="33">
        <v>2018</v>
      </c>
      <c r="I1" s="38">
        <v>2019</v>
      </c>
      <c r="J1" s="38">
        <v>2020</v>
      </c>
      <c r="K1" s="38">
        <v>2021</v>
      </c>
      <c r="L1" s="38">
        <v>2022</v>
      </c>
      <c r="M1" s="38">
        <v>2023</v>
      </c>
      <c r="N1" s="38">
        <v>2024</v>
      </c>
      <c r="O1" s="38">
        <v>2025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1">
      <c r="A2" s="34" t="s">
        <v>161</v>
      </c>
    </row>
    <row r="3" spans="1:22">
      <c r="A3" s="34" t="s">
        <v>162</v>
      </c>
      <c r="B3" s="35">
        <v>1.75</v>
      </c>
      <c r="C3" s="35">
        <v>2.91</v>
      </c>
      <c r="D3" s="35">
        <v>4.62</v>
      </c>
      <c r="E3" s="35">
        <v>5.03</v>
      </c>
      <c r="F3" s="35">
        <v>5.22</v>
      </c>
      <c r="G3" s="35">
        <v>4.8</v>
      </c>
      <c r="H3" s="35">
        <v>5.74</v>
      </c>
      <c r="I3" s="35">
        <f>IS!I34</f>
        <v>6.31350261</v>
      </c>
      <c r="J3" s="35">
        <f>IS!J34</f>
        <v>6.6722541126</v>
      </c>
      <c r="K3" s="35">
        <f>IS!K34</f>
        <v>7.759776958386</v>
      </c>
      <c r="L3" s="35">
        <f>IS!L34</f>
        <v>8.80704115497582</v>
      </c>
      <c r="M3" s="35">
        <f>IS!M34</f>
        <v>10.2698850016858</v>
      </c>
      <c r="N3" s="35">
        <f>IS!N34</f>
        <v>11.4629602585842</v>
      </c>
      <c r="O3" s="35">
        <f>IS!O34</f>
        <v>13.028942674194</v>
      </c>
      <c r="Q3" s="43"/>
      <c r="R3" s="43"/>
      <c r="U3" s="43"/>
      <c r="V3" s="43"/>
    </row>
    <row r="4" spans="1:22">
      <c r="A4" s="34" t="s">
        <v>163</v>
      </c>
      <c r="B4" s="35">
        <v>0.16</v>
      </c>
      <c r="C4" s="35">
        <v>0.22</v>
      </c>
      <c r="D4" s="35">
        <v>0.16</v>
      </c>
      <c r="E4" s="35">
        <v>0.2</v>
      </c>
      <c r="F4" s="35">
        <v>0.36</v>
      </c>
      <c r="G4" s="35">
        <v>1.3</v>
      </c>
      <c r="H4" s="35">
        <v>-0.43</v>
      </c>
      <c r="I4" s="35"/>
      <c r="J4" s="35"/>
      <c r="Q4" s="43"/>
      <c r="R4" s="43"/>
      <c r="U4" s="43"/>
      <c r="V4" s="43"/>
    </row>
    <row r="5" spans="1:22">
      <c r="A5" s="34" t="s">
        <v>164</v>
      </c>
      <c r="B5" s="35">
        <v>0.03</v>
      </c>
      <c r="C5" s="35">
        <v>0.03</v>
      </c>
      <c r="D5" s="35">
        <v>0.13</v>
      </c>
      <c r="E5" s="35">
        <v>0.14</v>
      </c>
      <c r="F5" s="35">
        <v>0.14</v>
      </c>
      <c r="G5" s="35">
        <v>0.15</v>
      </c>
      <c r="H5" s="35">
        <v>0.2</v>
      </c>
      <c r="I5" s="35">
        <f>资本开支假设!G16</f>
        <v>0.3302296</v>
      </c>
      <c r="J5" s="35">
        <f>资本开支假设!H16</f>
        <v>0.440526272</v>
      </c>
      <c r="K5" s="35">
        <f>资本开支假设!I16</f>
        <v>0.6321541408</v>
      </c>
      <c r="L5" s="35">
        <f>资本开支假设!J16</f>
        <v>0.6968254832</v>
      </c>
      <c r="M5" s="35">
        <f>资本开支假设!K16</f>
        <v>0.7856015723968</v>
      </c>
      <c r="N5" s="35">
        <f>资本开支假设!L16</f>
        <v>0.881978434676608</v>
      </c>
      <c r="O5" s="35">
        <f>资本开支假设!M16</f>
        <v>1.00176253385155</v>
      </c>
      <c r="Q5" s="43"/>
      <c r="R5" s="43"/>
      <c r="U5" s="43"/>
      <c r="V5" s="43"/>
    </row>
    <row r="6" spans="1:22">
      <c r="A6" s="34" t="s">
        <v>165</v>
      </c>
      <c r="B6" s="35">
        <v>0</v>
      </c>
      <c r="C6" s="35">
        <v>0</v>
      </c>
      <c r="D6" s="35">
        <v>0</v>
      </c>
      <c r="E6" s="35">
        <v>0</v>
      </c>
      <c r="F6" s="35">
        <v>0.01</v>
      </c>
      <c r="G6" s="35">
        <v>0.02</v>
      </c>
      <c r="H6" s="35">
        <v>0.03</v>
      </c>
      <c r="I6" s="35">
        <f>资本开支假设!G26</f>
        <v>0.0484</v>
      </c>
      <c r="J6" s="35">
        <f>资本开支假设!H26</f>
        <v>0.050952</v>
      </c>
      <c r="K6" s="35">
        <f>资本开支假设!I26</f>
        <v>0.05514256</v>
      </c>
      <c r="L6" s="35">
        <f>资本开支假设!J26</f>
        <v>0.0606111968</v>
      </c>
      <c r="M6" s="35">
        <f>资本开支假设!K26</f>
        <v>0.067076733504</v>
      </c>
      <c r="N6" s="35">
        <f>资本开支假设!L26</f>
        <v>0.07431985213312</v>
      </c>
      <c r="O6" s="35">
        <f>资本开支假设!M26</f>
        <v>0.0821694846638336</v>
      </c>
      <c r="Q6" s="43"/>
      <c r="R6" s="43"/>
      <c r="U6" s="43"/>
      <c r="V6" s="43"/>
    </row>
    <row r="7" spans="1:22">
      <c r="A7" s="34" t="s">
        <v>166</v>
      </c>
      <c r="B7" s="35">
        <v>0.15</v>
      </c>
      <c r="C7" s="35">
        <v>0.23</v>
      </c>
      <c r="D7" s="35">
        <v>0.27</v>
      </c>
      <c r="E7" s="35">
        <v>0.26</v>
      </c>
      <c r="F7" s="35">
        <v>0.25</v>
      </c>
      <c r="G7" s="35">
        <v>0.26</v>
      </c>
      <c r="H7" s="35">
        <v>0.34</v>
      </c>
      <c r="I7" s="35">
        <f>BS!I17*0.8</f>
        <v>0.38</v>
      </c>
      <c r="J7" s="35">
        <f>BS!J17*0.8</f>
        <v>0.456</v>
      </c>
      <c r="K7" s="35">
        <f>BS!K17*0.8</f>
        <v>0.5472</v>
      </c>
      <c r="L7" s="35">
        <f>BS!L17*0.8</f>
        <v>0.65664</v>
      </c>
      <c r="M7" s="35">
        <f>BS!M17*0.8</f>
        <v>0.787968</v>
      </c>
      <c r="N7" s="35">
        <f>BS!N17*0.8</f>
        <v>0.9455616</v>
      </c>
      <c r="O7" s="35">
        <f>BS!O17*0.8</f>
        <v>1.13467392</v>
      </c>
      <c r="Q7" s="43"/>
      <c r="R7" s="43"/>
      <c r="U7" s="43"/>
      <c r="V7" s="43"/>
    </row>
    <row r="8" spans="1:22">
      <c r="A8" s="34" t="s">
        <v>167</v>
      </c>
      <c r="B8" s="35">
        <v>0</v>
      </c>
      <c r="C8" s="35">
        <v>0</v>
      </c>
      <c r="D8" s="35">
        <v>0</v>
      </c>
      <c r="E8" s="35">
        <v>0</v>
      </c>
      <c r="F8" s="35">
        <v>-0.01</v>
      </c>
      <c r="G8" s="35">
        <v>0.02</v>
      </c>
      <c r="H8" s="35">
        <v>-0.02</v>
      </c>
      <c r="I8" s="35">
        <f>IS!I19</f>
        <v>-0.356556</v>
      </c>
      <c r="J8" s="35">
        <f>IS!J19</f>
        <v>-0.38006436</v>
      </c>
      <c r="K8" s="35">
        <f>IS!K19</f>
        <v>-0.4560746268</v>
      </c>
      <c r="L8" s="35">
        <f>IS!L19</f>
        <v>-0.518600688276</v>
      </c>
      <c r="M8" s="35">
        <f>IS!M19</f>
        <v>-0.60690930766716</v>
      </c>
      <c r="N8" s="35">
        <f>IS!N19</f>
        <v>-0.677833747648626</v>
      </c>
      <c r="O8" s="35">
        <f>IS!O19</f>
        <v>-0.771893374912476</v>
      </c>
      <c r="Q8" s="43"/>
      <c r="R8" s="43"/>
      <c r="U8" s="43"/>
      <c r="V8" s="43"/>
    </row>
    <row r="9" spans="1:10">
      <c r="A9" s="34" t="s">
        <v>168</v>
      </c>
      <c r="B9" s="35">
        <v>0</v>
      </c>
      <c r="C9" s="35">
        <v>-0.05</v>
      </c>
      <c r="D9" s="35">
        <v>-0.2</v>
      </c>
      <c r="E9" s="35">
        <v>-0.12</v>
      </c>
      <c r="F9" s="35">
        <v>-0.01</v>
      </c>
      <c r="H9" s="35">
        <v>-0.16</v>
      </c>
      <c r="I9" s="35"/>
      <c r="J9" s="35"/>
    </row>
    <row r="10" spans="1:15">
      <c r="A10" s="34" t="s">
        <v>169</v>
      </c>
      <c r="B10" s="35">
        <v>-0.07</v>
      </c>
      <c r="C10" s="35">
        <v>-0.11</v>
      </c>
      <c r="D10" s="35">
        <v>0.05</v>
      </c>
      <c r="E10" s="35">
        <v>-0.05</v>
      </c>
      <c r="F10" s="35">
        <v>-0.05</v>
      </c>
      <c r="G10" s="35">
        <v>-0.24</v>
      </c>
      <c r="H10" s="35">
        <v>0.13</v>
      </c>
      <c r="I10" s="35">
        <f>BS!I18-BS!J18</f>
        <v>-0.017500073297561</v>
      </c>
      <c r="J10" s="35">
        <f>BS!J18-BS!K18</f>
        <v>-0.0530498949163904</v>
      </c>
      <c r="K10" s="35">
        <f>BS!K18-BS!L18</f>
        <v>-0.0510860583702352</v>
      </c>
      <c r="L10" s="35">
        <f>BS!L18-BS!M18</f>
        <v>-0.0713582364248759</v>
      </c>
      <c r="M10" s="35">
        <f>BS!M18-BS!N18</f>
        <v>-0.0581987930194371</v>
      </c>
      <c r="N10" s="35">
        <f>BS!N18-BS!O18</f>
        <v>-0.0763893861273074</v>
      </c>
      <c r="O10" s="35">
        <f>BS!O18-BS!P18</f>
        <v>0.635558179228978</v>
      </c>
    </row>
    <row r="11" spans="1:10">
      <c r="A11" s="34" t="s">
        <v>170</v>
      </c>
      <c r="B11" s="35">
        <v>0</v>
      </c>
      <c r="C11" s="35">
        <v>0</v>
      </c>
      <c r="H11" s="35">
        <v>0.01</v>
      </c>
      <c r="I11" s="35"/>
      <c r="J11" s="35"/>
    </row>
    <row r="12" spans="1:22">
      <c r="A12" s="34" t="s">
        <v>171</v>
      </c>
      <c r="B12" s="35">
        <v>-0.29</v>
      </c>
      <c r="C12" s="35">
        <v>-0.32</v>
      </c>
      <c r="D12" s="35">
        <v>-0.24</v>
      </c>
      <c r="E12" s="35">
        <v>-0.53</v>
      </c>
      <c r="F12" s="35">
        <v>-0.4</v>
      </c>
      <c r="G12" s="35">
        <v>-0.51</v>
      </c>
      <c r="H12" s="35">
        <v>-0.35</v>
      </c>
      <c r="I12" s="35">
        <f>BS!H9-BS!I9</f>
        <v>-0.3913</v>
      </c>
      <c r="J12" s="35">
        <f>BS!I9-BS!J9</f>
        <v>-0.195903</v>
      </c>
      <c r="K12" s="35">
        <f>BS!J9-BS!K9</f>
        <v>-0.633418889999999</v>
      </c>
      <c r="L12" s="35">
        <f>BS!K9-BS!L9</f>
        <v>-0.5210505123</v>
      </c>
      <c r="M12" s="35">
        <f>BS!L9-BS!M9</f>
        <v>-0.735905161592999</v>
      </c>
      <c r="N12" s="35">
        <f>BS!M9-BS!N9</f>
        <v>-0.591036999845551</v>
      </c>
      <c r="O12" s="35">
        <f>BS!N9-BS!O9</f>
        <v>-0.783830227198751</v>
      </c>
      <c r="Q12" s="43"/>
      <c r="R12" s="43"/>
      <c r="U12" s="43"/>
      <c r="V12" s="43"/>
    </row>
    <row r="13" spans="1:22">
      <c r="A13" s="34" t="s">
        <v>172</v>
      </c>
      <c r="B13" s="35">
        <v>-0.24</v>
      </c>
      <c r="C13" s="35">
        <v>-0.22</v>
      </c>
      <c r="D13" s="35">
        <v>0.21</v>
      </c>
      <c r="E13" s="35">
        <v>-0.26</v>
      </c>
      <c r="F13" s="35">
        <v>-0.08</v>
      </c>
      <c r="G13" s="35">
        <v>-0.13</v>
      </c>
      <c r="H13" s="35">
        <v>-0.18</v>
      </c>
      <c r="I13" s="35">
        <f>BS!H6-BS!I6</f>
        <v>-0.0958165031736873</v>
      </c>
      <c r="J13" s="35">
        <f>BS!I6-BS!J6</f>
        <v>-0.0452170802077324</v>
      </c>
      <c r="K13" s="35">
        <f>BS!J6-BS!K6</f>
        <v>-0.146201705712637</v>
      </c>
      <c r="L13" s="35">
        <f>BS!K6-BS!L6</f>
        <v>-0.12026555390652</v>
      </c>
      <c r="M13" s="35">
        <f>BS!L6-BS!M6</f>
        <v>-0.169856932854703</v>
      </c>
      <c r="N13" s="35">
        <f>BS!M6-BS!N6</f>
        <v>-0.136419388308263</v>
      </c>
      <c r="O13" s="35">
        <f>BS!N6-BS!O6</f>
        <v>-0.18091869064022</v>
      </c>
      <c r="Q13" s="43"/>
      <c r="R13" s="43"/>
      <c r="U13" s="43"/>
      <c r="V13" s="43"/>
    </row>
    <row r="14" spans="1:22">
      <c r="A14" s="34" t="s">
        <v>173</v>
      </c>
      <c r="B14" s="35">
        <v>0.36</v>
      </c>
      <c r="C14" s="35">
        <v>1.19</v>
      </c>
      <c r="D14" s="35">
        <v>0.54</v>
      </c>
      <c r="E14" s="35">
        <v>0.27</v>
      </c>
      <c r="F14" s="35">
        <v>-0.51</v>
      </c>
      <c r="G14" s="35">
        <v>-0.03</v>
      </c>
      <c r="H14" s="35">
        <v>0.53</v>
      </c>
      <c r="I14" s="35">
        <f>BS!I24-BS!H24</f>
        <v>-0.140845714285714</v>
      </c>
      <c r="J14" s="35">
        <f>BS!J24-BS!I24</f>
        <v>-0.0123747067669172</v>
      </c>
      <c r="K14" s="35">
        <f>BS!K24-BS!J24</f>
        <v>0.133351345263158</v>
      </c>
      <c r="L14" s="35">
        <f>BS!L24-BS!K24</f>
        <v>0.109694844694737</v>
      </c>
      <c r="M14" s="35">
        <f>BS!M24-BS!L24</f>
        <v>0.154927402440632</v>
      </c>
      <c r="N14" s="35">
        <f>BS!N24-BS!M24</f>
        <v>0.124428842072748</v>
      </c>
      <c r="O14" s="35">
        <f>BS!O24-BS!N24</f>
        <v>0.165016889936579</v>
      </c>
      <c r="Q14" s="43"/>
      <c r="R14" s="43"/>
      <c r="U14" s="43"/>
      <c r="V14" s="43"/>
    </row>
    <row r="15" spans="1:21">
      <c r="A15" s="34" t="s">
        <v>174</v>
      </c>
      <c r="B15" s="35">
        <v>0.05</v>
      </c>
      <c r="C15" s="35">
        <v>0.12</v>
      </c>
      <c r="D15" s="35">
        <v>0.01</v>
      </c>
      <c r="E15" s="35">
        <v>0.47</v>
      </c>
      <c r="F15" s="35">
        <v>-0.11</v>
      </c>
      <c r="G15" s="35">
        <v>-0.03</v>
      </c>
      <c r="Q15" s="43"/>
      <c r="U15" s="43"/>
    </row>
    <row r="16" spans="1:22">
      <c r="A16" s="33" t="s">
        <v>175</v>
      </c>
      <c r="B16" s="35">
        <v>1.9</v>
      </c>
      <c r="C16" s="35">
        <v>4.01</v>
      </c>
      <c r="D16" s="35">
        <v>5.55</v>
      </c>
      <c r="E16" s="35">
        <v>5.42</v>
      </c>
      <c r="F16" s="35">
        <v>4.83</v>
      </c>
      <c r="G16" s="35">
        <v>5.61</v>
      </c>
      <c r="H16" s="35">
        <v>5.85</v>
      </c>
      <c r="I16" s="39">
        <f>SUM(I3:I15)</f>
        <v>6.07011391924303</v>
      </c>
      <c r="J16" s="39">
        <f t="shared" ref="J16:O16" si="0">SUM(J3:J15)</f>
        <v>6.93312334270896</v>
      </c>
      <c r="K16" s="39">
        <f t="shared" si="0"/>
        <v>7.84084372356629</v>
      </c>
      <c r="L16" s="39">
        <f t="shared" si="0"/>
        <v>9.09953768876316</v>
      </c>
      <c r="M16" s="39">
        <f t="shared" si="0"/>
        <v>10.4945885148929</v>
      </c>
      <c r="N16" s="39">
        <f t="shared" si="0"/>
        <v>12.007569465537</v>
      </c>
      <c r="O16" s="39">
        <f t="shared" si="0"/>
        <v>14.3114813891235</v>
      </c>
      <c r="Q16" s="43"/>
      <c r="R16" s="43"/>
      <c r="U16" s="43"/>
      <c r="V16" s="43"/>
    </row>
    <row r="17" spans="1:27">
      <c r="A17" s="34"/>
      <c r="B17" s="35"/>
      <c r="C17" s="35"/>
      <c r="D17" s="35"/>
      <c r="E17" s="35"/>
      <c r="F17" s="35"/>
      <c r="G17" s="35"/>
      <c r="H17" s="35"/>
      <c r="I17" s="35"/>
      <c r="J17" s="35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1">
      <c r="A18" s="34" t="s">
        <v>176</v>
      </c>
    </row>
    <row r="19" spans="1:27">
      <c r="A19" s="34" t="s">
        <v>177</v>
      </c>
      <c r="C19" s="35">
        <v>0.05</v>
      </c>
      <c r="D19" s="35">
        <v>3.85</v>
      </c>
      <c r="E19" s="35">
        <v>2.03</v>
      </c>
      <c r="F19" s="35">
        <v>0.68</v>
      </c>
      <c r="H19" s="35">
        <v>9</v>
      </c>
      <c r="I19" s="35"/>
      <c r="J19" s="35"/>
      <c r="X19" s="43"/>
      <c r="Z19" s="43"/>
      <c r="AA19" s="43"/>
    </row>
    <row r="20" spans="1:27">
      <c r="A20" s="34" t="s">
        <v>178</v>
      </c>
      <c r="D20" s="35">
        <v>3.65</v>
      </c>
      <c r="E20" s="35">
        <v>1.92</v>
      </c>
      <c r="F20" s="35">
        <v>-0.67</v>
      </c>
      <c r="H20" s="35">
        <v>-9</v>
      </c>
      <c r="I20" s="35"/>
      <c r="J20" s="35"/>
      <c r="W20" s="43"/>
      <c r="X20" s="43"/>
      <c r="Y20" s="43"/>
      <c r="Z20" s="43"/>
      <c r="AA20" s="43"/>
    </row>
    <row r="21" spans="1:27">
      <c r="A21" s="34" t="s">
        <v>179</v>
      </c>
      <c r="H21" s="35">
        <v>0.16</v>
      </c>
      <c r="I21" s="35">
        <f>H21*1.1</f>
        <v>0.176</v>
      </c>
      <c r="J21" s="35">
        <f t="shared" ref="J21:O21" si="1">I21*1.1</f>
        <v>0.1936</v>
      </c>
      <c r="K21" s="35">
        <f t="shared" si="1"/>
        <v>0.21296</v>
      </c>
      <c r="L21" s="35">
        <f t="shared" si="1"/>
        <v>0.234256</v>
      </c>
      <c r="M21" s="35">
        <f t="shared" si="1"/>
        <v>0.2576816</v>
      </c>
      <c r="N21" s="35">
        <f t="shared" si="1"/>
        <v>0.28344976</v>
      </c>
      <c r="O21" s="35">
        <f t="shared" si="1"/>
        <v>0.311794736</v>
      </c>
      <c r="X21" s="43"/>
      <c r="Z21" s="43"/>
      <c r="AA21" s="43"/>
    </row>
    <row r="22" spans="1:27">
      <c r="A22" s="34" t="s">
        <v>180</v>
      </c>
      <c r="B22" s="35">
        <v>0.38</v>
      </c>
      <c r="C22" s="35">
        <v>2.42</v>
      </c>
      <c r="D22" s="35">
        <v>0.39</v>
      </c>
      <c r="E22" s="35">
        <v>0.22</v>
      </c>
      <c r="F22" s="35">
        <v>-0.38</v>
      </c>
      <c r="G22" s="35">
        <v>-2.78</v>
      </c>
      <c r="H22" s="35">
        <v>-1.59</v>
      </c>
      <c r="I22" s="35">
        <f>(资本开支假设!G8)*-1</f>
        <v>-2.1364</v>
      </c>
      <c r="J22" s="35">
        <f>(资本开支假设!H8)*-1</f>
        <v>-2.425224</v>
      </c>
      <c r="K22" s="35">
        <f>(资本开支假设!I8)*-1</f>
        <v>-2.96785984</v>
      </c>
      <c r="L22" s="35">
        <f>(资本开支假设!J8)*-1</f>
        <v>-3.2160174144</v>
      </c>
      <c r="M22" s="35">
        <f>(资本开支假设!K8)*-1</f>
        <v>-3.780880200704</v>
      </c>
      <c r="N22" s="35">
        <f>(资本开支假设!L8)*-1</f>
        <v>-4.24467103281664</v>
      </c>
      <c r="O22" s="35">
        <f>(资本开支假设!M8)*-1</f>
        <v>-4.9203683980673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>
      <c r="A23" s="34" t="s">
        <v>181</v>
      </c>
      <c r="B23" s="35">
        <v>-0.37</v>
      </c>
      <c r="C23" s="35">
        <v>-2.36</v>
      </c>
      <c r="D23" s="35">
        <v>-0.18</v>
      </c>
      <c r="E23" s="35">
        <v>-0.1</v>
      </c>
      <c r="F23" s="35">
        <v>-0.36</v>
      </c>
      <c r="G23" s="35">
        <v>-2.77</v>
      </c>
      <c r="H23" s="35">
        <v>-1.43</v>
      </c>
      <c r="I23" s="39">
        <f>SUM(I19:I22)</f>
        <v>-1.9604</v>
      </c>
      <c r="J23" s="39">
        <f t="shared" ref="J23:O23" si="2">SUM(J19:J22)</f>
        <v>-2.231624</v>
      </c>
      <c r="K23" s="39">
        <f t="shared" si="2"/>
        <v>-2.75489984</v>
      </c>
      <c r="L23" s="39">
        <f t="shared" si="2"/>
        <v>-2.9817614144</v>
      </c>
      <c r="M23" s="39">
        <f t="shared" si="2"/>
        <v>-3.523198600704</v>
      </c>
      <c r="N23" s="39">
        <f t="shared" si="2"/>
        <v>-3.96122127281664</v>
      </c>
      <c r="O23" s="39">
        <f t="shared" si="2"/>
        <v>-4.6085736620673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1">
      <c r="A24" s="34" t="s">
        <v>182</v>
      </c>
    </row>
    <row r="25" spans="1:24">
      <c r="A25" s="34" t="s">
        <v>183</v>
      </c>
      <c r="B25" s="35">
        <v>0.09</v>
      </c>
      <c r="C25" s="35">
        <v>1.8</v>
      </c>
      <c r="F25" s="35">
        <v>0.01</v>
      </c>
      <c r="H25" s="35">
        <v>15.82</v>
      </c>
      <c r="I25" s="35">
        <v>0</v>
      </c>
      <c r="J25" s="35">
        <v>0</v>
      </c>
      <c r="K25" s="33">
        <v>0</v>
      </c>
      <c r="L25" s="33">
        <v>12</v>
      </c>
      <c r="M25" s="33">
        <v>0</v>
      </c>
      <c r="N25" s="33">
        <v>0</v>
      </c>
      <c r="O25" s="33">
        <v>0</v>
      </c>
      <c r="V25" s="43"/>
      <c r="W25" s="43"/>
      <c r="X25" s="43"/>
    </row>
    <row r="26" spans="1:1">
      <c r="A26" s="34" t="s">
        <v>184</v>
      </c>
    </row>
    <row r="27" spans="1:2">
      <c r="A27" s="34" t="s">
        <v>185</v>
      </c>
      <c r="B27" s="35">
        <v>0.03</v>
      </c>
    </row>
    <row r="28" spans="1:1">
      <c r="A28" s="34" t="s">
        <v>186</v>
      </c>
    </row>
    <row r="29" spans="1:1">
      <c r="A29" s="34" t="s">
        <v>187</v>
      </c>
    </row>
    <row r="30" spans="1:27">
      <c r="A30" s="34" t="s">
        <v>188</v>
      </c>
      <c r="B30" s="35">
        <v>0.55</v>
      </c>
      <c r="C30" s="35">
        <v>1.14</v>
      </c>
      <c r="D30" s="35">
        <v>3.99</v>
      </c>
      <c r="E30" s="35">
        <v>3.67</v>
      </c>
      <c r="F30" s="33">
        <v>-4.54</v>
      </c>
      <c r="G30" s="33">
        <v>-0.4</v>
      </c>
      <c r="H30" s="33">
        <v>-4.01</v>
      </c>
      <c r="I30" s="35">
        <f>-1*IS!I39</f>
        <v>-2.2097259135</v>
      </c>
      <c r="J30" s="35">
        <f>-1*IS!J39</f>
        <v>-2.33528893941</v>
      </c>
      <c r="K30" s="35">
        <f>-1*IS!K39</f>
        <v>-2.7159219354351</v>
      </c>
      <c r="L30" s="35">
        <f>-1*IS!L39</f>
        <v>-3.08246440424154</v>
      </c>
      <c r="M30" s="35">
        <f>-1*IS!M39</f>
        <v>-3.59445975059002</v>
      </c>
      <c r="N30" s="35">
        <f>-1*IS!N39</f>
        <v>-4.01203609050448</v>
      </c>
      <c r="O30" s="35">
        <f>-1*IS!O39</f>
        <v>-4.56012993596791</v>
      </c>
      <c r="R30" s="43"/>
      <c r="S30" s="43"/>
      <c r="T30" s="43"/>
      <c r="W30" s="43"/>
      <c r="X30" s="43"/>
      <c r="Z30" s="43"/>
      <c r="AA30" s="43"/>
    </row>
    <row r="31" spans="1:27">
      <c r="A31" s="34" t="s">
        <v>189</v>
      </c>
      <c r="B31" s="35">
        <v>-0.49</v>
      </c>
      <c r="C31" s="35">
        <v>0.38</v>
      </c>
      <c r="D31" s="35">
        <v>-3.99</v>
      </c>
      <c r="E31" s="35">
        <v>-3.67</v>
      </c>
      <c r="F31" s="35">
        <v>-4.52</v>
      </c>
      <c r="G31" s="35">
        <v>-0.4</v>
      </c>
      <c r="H31" s="35">
        <v>11.81</v>
      </c>
      <c r="I31" s="39">
        <f>SUM(I25:I30)</f>
        <v>-2.2097259135</v>
      </c>
      <c r="J31" s="39">
        <f t="shared" ref="J31:O31" si="3">SUM(J25:J30)</f>
        <v>-2.33528893941</v>
      </c>
      <c r="K31" s="39">
        <f t="shared" si="3"/>
        <v>-2.7159219354351</v>
      </c>
      <c r="L31" s="39">
        <f t="shared" si="3"/>
        <v>8.91753559575846</v>
      </c>
      <c r="M31" s="39">
        <f t="shared" si="3"/>
        <v>-3.59445975059002</v>
      </c>
      <c r="N31" s="39">
        <f t="shared" si="3"/>
        <v>-4.01203609050448</v>
      </c>
      <c r="O31" s="39">
        <f t="shared" si="3"/>
        <v>-4.56012993596791</v>
      </c>
      <c r="R31" s="43"/>
      <c r="S31" s="43"/>
      <c r="T31" s="43"/>
      <c r="V31" s="43"/>
      <c r="W31" s="43"/>
      <c r="X31" s="43"/>
      <c r="Z31" s="43"/>
      <c r="AA31" s="43"/>
    </row>
    <row r="32" spans="1:27">
      <c r="A32" s="34" t="s">
        <v>190</v>
      </c>
      <c r="B32" s="35">
        <v>1.04</v>
      </c>
      <c r="C32" s="35">
        <v>2.03</v>
      </c>
      <c r="D32" s="35">
        <v>1.38</v>
      </c>
      <c r="E32" s="35">
        <v>1.64</v>
      </c>
      <c r="F32" s="35">
        <v>-0.05</v>
      </c>
      <c r="G32" s="35">
        <v>2.42</v>
      </c>
      <c r="H32" s="35">
        <v>16.25</v>
      </c>
      <c r="I32" s="40">
        <f>I16+I23+I31</f>
        <v>1.89998800574304</v>
      </c>
      <c r="J32" s="40">
        <f t="shared" ref="J32:O32" si="4">J16+J23+J31</f>
        <v>2.36621040329896</v>
      </c>
      <c r="K32" s="40">
        <f t="shared" si="4"/>
        <v>2.37002194813119</v>
      </c>
      <c r="L32" s="40">
        <f t="shared" si="4"/>
        <v>15.0353118701216</v>
      </c>
      <c r="M32" s="40">
        <f t="shared" si="4"/>
        <v>3.37693016359889</v>
      </c>
      <c r="N32" s="40">
        <f t="shared" si="4"/>
        <v>4.03431210221585</v>
      </c>
      <c r="O32" s="40">
        <f t="shared" si="4"/>
        <v>5.14277779108832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>
      <c r="A33" s="34" t="s">
        <v>191</v>
      </c>
      <c r="B33" s="35">
        <v>0.59</v>
      </c>
      <c r="C33" s="35">
        <v>1.63</v>
      </c>
      <c r="D33" s="35">
        <v>3.66</v>
      </c>
      <c r="E33" s="35">
        <v>5.04</v>
      </c>
      <c r="F33" s="35">
        <v>6.69</v>
      </c>
      <c r="G33" s="35">
        <v>6.63</v>
      </c>
      <c r="H33" s="35">
        <v>9.05</v>
      </c>
      <c r="I33" s="40">
        <f>H34</f>
        <v>25.3</v>
      </c>
      <c r="J33" s="40">
        <f t="shared" ref="J33:O33" si="5">I34</f>
        <v>27.199988005743</v>
      </c>
      <c r="K33" s="40">
        <f t="shared" si="5"/>
        <v>29.566198409042</v>
      </c>
      <c r="L33" s="40">
        <f t="shared" si="5"/>
        <v>31.9362203571732</v>
      </c>
      <c r="M33" s="40">
        <f t="shared" si="5"/>
        <v>46.9715322272948</v>
      </c>
      <c r="N33" s="40">
        <f t="shared" si="5"/>
        <v>50.3484623908937</v>
      </c>
      <c r="O33" s="40">
        <f t="shared" si="5"/>
        <v>54.3827744931095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>
      <c r="A34" s="34" t="s">
        <v>192</v>
      </c>
      <c r="B34" s="35">
        <v>1.63</v>
      </c>
      <c r="C34" s="35">
        <v>3.66</v>
      </c>
      <c r="D34" s="35">
        <v>5.04</v>
      </c>
      <c r="E34" s="35">
        <v>6.69</v>
      </c>
      <c r="F34" s="35">
        <v>6.63</v>
      </c>
      <c r="G34" s="35">
        <v>9.05</v>
      </c>
      <c r="H34" s="35">
        <v>25.3</v>
      </c>
      <c r="I34" s="41">
        <f>I32+I33</f>
        <v>27.199988005743</v>
      </c>
      <c r="J34" s="41">
        <f t="shared" ref="J34:O34" si="6">J32+J33</f>
        <v>29.566198409042</v>
      </c>
      <c r="K34" s="41">
        <f t="shared" si="6"/>
        <v>31.9362203571732</v>
      </c>
      <c r="L34" s="41">
        <f t="shared" si="6"/>
        <v>46.9715322272948</v>
      </c>
      <c r="M34" s="41">
        <f t="shared" si="6"/>
        <v>50.3484623908937</v>
      </c>
      <c r="N34" s="41">
        <f t="shared" si="6"/>
        <v>54.3827744931095</v>
      </c>
      <c r="O34" s="41">
        <f t="shared" si="6"/>
        <v>59.5255522841979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>
      <c r="A35" s="34"/>
      <c r="B35" s="35"/>
      <c r="C35" s="35"/>
      <c r="D35" s="35"/>
      <c r="E35" s="35"/>
      <c r="F35" s="35"/>
      <c r="G35" s="35"/>
      <c r="H35" s="35"/>
      <c r="I35" s="35"/>
      <c r="J35" s="35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idden="1" outlineLevel="1" spans="1:1">
      <c r="A36" s="34" t="s">
        <v>193</v>
      </c>
    </row>
    <row r="37" hidden="1" outlineLevel="1" spans="1:22">
      <c r="A37" s="34" t="s">
        <v>162</v>
      </c>
      <c r="B37" s="35">
        <v>1.75</v>
      </c>
      <c r="C37" s="35">
        <v>2.91</v>
      </c>
      <c r="D37" s="35">
        <v>4.62</v>
      </c>
      <c r="E37" s="35">
        <v>5.03</v>
      </c>
      <c r="F37" s="35">
        <v>5.22</v>
      </c>
      <c r="G37" s="35">
        <v>4.8</v>
      </c>
      <c r="H37" s="35">
        <v>5.74</v>
      </c>
      <c r="I37" s="35"/>
      <c r="J37" s="35"/>
      <c r="Q37" s="43"/>
      <c r="R37" s="43"/>
      <c r="U37" s="43"/>
      <c r="V37" s="43"/>
    </row>
    <row r="38" hidden="1" outlineLevel="1" spans="1:22">
      <c r="A38" s="34" t="s">
        <v>163</v>
      </c>
      <c r="B38" s="35">
        <v>0.16</v>
      </c>
      <c r="C38" s="35">
        <v>0.22</v>
      </c>
      <c r="D38" s="35">
        <v>0.16</v>
      </c>
      <c r="E38" s="35">
        <v>0.2</v>
      </c>
      <c r="F38" s="35">
        <v>0.36</v>
      </c>
      <c r="G38" s="35">
        <v>1.3</v>
      </c>
      <c r="H38" s="35">
        <v>-0.43</v>
      </c>
      <c r="I38" s="35"/>
      <c r="J38" s="35"/>
      <c r="Q38" s="43"/>
      <c r="R38" s="43"/>
      <c r="U38" s="43"/>
      <c r="V38" s="43"/>
    </row>
    <row r="39" hidden="1" outlineLevel="1" spans="1:1">
      <c r="A39" s="34" t="s">
        <v>194</v>
      </c>
    </row>
    <row r="40" hidden="1" outlineLevel="1" spans="1:22">
      <c r="A40" s="34" t="s">
        <v>164</v>
      </c>
      <c r="B40" s="35">
        <v>0.03</v>
      </c>
      <c r="C40" s="35">
        <v>0.03</v>
      </c>
      <c r="D40" s="35">
        <v>0.13</v>
      </c>
      <c r="E40" s="35">
        <v>0.14</v>
      </c>
      <c r="F40" s="35">
        <v>0.14</v>
      </c>
      <c r="G40" s="35">
        <v>0.15</v>
      </c>
      <c r="H40" s="35">
        <v>0.2</v>
      </c>
      <c r="I40" s="35"/>
      <c r="J40" s="35"/>
      <c r="Q40" s="43"/>
      <c r="R40" s="43"/>
      <c r="U40" s="43"/>
      <c r="V40" s="43"/>
    </row>
    <row r="41" hidden="1" outlineLevel="1" spans="1:22">
      <c r="A41" s="34" t="s">
        <v>165</v>
      </c>
      <c r="B41" s="35">
        <v>0</v>
      </c>
      <c r="C41" s="35">
        <v>0</v>
      </c>
      <c r="D41" s="35">
        <v>0</v>
      </c>
      <c r="E41" s="35">
        <v>0</v>
      </c>
      <c r="F41" s="35">
        <v>0.01</v>
      </c>
      <c r="G41" s="35">
        <v>0.02</v>
      </c>
      <c r="H41" s="35">
        <v>0.03</v>
      </c>
      <c r="I41" s="35"/>
      <c r="J41" s="35"/>
      <c r="Q41" s="43"/>
      <c r="R41" s="43"/>
      <c r="U41" s="43"/>
      <c r="V41" s="43"/>
    </row>
    <row r="42" hidden="1" outlineLevel="1" spans="1:1">
      <c r="A42" s="34" t="s">
        <v>195</v>
      </c>
    </row>
    <row r="43" hidden="1" outlineLevel="1" spans="1:22">
      <c r="A43" s="34" t="s">
        <v>166</v>
      </c>
      <c r="B43" s="35">
        <v>0.15</v>
      </c>
      <c r="C43" s="35">
        <v>0.23</v>
      </c>
      <c r="D43" s="35">
        <v>0.27</v>
      </c>
      <c r="E43" s="35">
        <v>0.26</v>
      </c>
      <c r="F43" s="35">
        <v>0.25</v>
      </c>
      <c r="G43" s="35">
        <v>0.26</v>
      </c>
      <c r="H43" s="35">
        <v>0.34</v>
      </c>
      <c r="I43" s="35"/>
      <c r="J43" s="35"/>
      <c r="Q43" s="43"/>
      <c r="R43" s="43"/>
      <c r="U43" s="43"/>
      <c r="V43" s="43"/>
    </row>
    <row r="44" hidden="1" outlineLevel="1" spans="1:1">
      <c r="A44" s="34" t="s">
        <v>196</v>
      </c>
    </row>
    <row r="45" hidden="1" outlineLevel="1" spans="1:1">
      <c r="A45" s="34" t="s">
        <v>197</v>
      </c>
    </row>
    <row r="46" hidden="1" outlineLevel="1" spans="1:18">
      <c r="A46" s="34" t="s">
        <v>198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/>
      <c r="J46" s="35"/>
      <c r="Q46" s="43"/>
      <c r="R46" s="43"/>
    </row>
    <row r="47" hidden="1" outlineLevel="1" spans="1:3">
      <c r="A47" s="34" t="s">
        <v>199</v>
      </c>
      <c r="B47" s="35">
        <v>0</v>
      </c>
      <c r="C47" s="35">
        <v>0</v>
      </c>
    </row>
    <row r="48" hidden="1" outlineLevel="1" spans="1:3">
      <c r="A48" s="34" t="s">
        <v>200</v>
      </c>
      <c r="B48" s="35">
        <v>0</v>
      </c>
      <c r="C48" s="35">
        <v>0</v>
      </c>
    </row>
    <row r="49" hidden="1" outlineLevel="1" spans="1:22">
      <c r="A49" s="34" t="s">
        <v>167</v>
      </c>
      <c r="B49" s="35">
        <v>0</v>
      </c>
      <c r="C49" s="35">
        <v>0</v>
      </c>
      <c r="D49" s="35">
        <v>0</v>
      </c>
      <c r="E49" s="35">
        <v>0</v>
      </c>
      <c r="F49" s="35">
        <v>-0.01</v>
      </c>
      <c r="G49" s="35">
        <v>0.02</v>
      </c>
      <c r="H49" s="35">
        <v>-0.02</v>
      </c>
      <c r="I49" s="35"/>
      <c r="J49" s="35"/>
      <c r="Q49" s="43"/>
      <c r="R49" s="43"/>
      <c r="U49" s="43"/>
      <c r="V49" s="43"/>
    </row>
    <row r="50" hidden="1" outlineLevel="1" spans="1:10">
      <c r="A50" s="34" t="s">
        <v>168</v>
      </c>
      <c r="B50" s="35">
        <v>0</v>
      </c>
      <c r="C50" s="35">
        <v>-0.05</v>
      </c>
      <c r="D50" s="35">
        <v>-0.2</v>
      </c>
      <c r="E50" s="35">
        <v>-0.12</v>
      </c>
      <c r="F50" s="35">
        <v>-0.01</v>
      </c>
      <c r="H50" s="35">
        <v>-0.16</v>
      </c>
      <c r="I50" s="35"/>
      <c r="J50" s="35"/>
    </row>
    <row r="51" hidden="1" outlineLevel="1" spans="1:10">
      <c r="A51" s="34" t="s">
        <v>169</v>
      </c>
      <c r="B51" s="35">
        <v>-0.07</v>
      </c>
      <c r="C51" s="35">
        <v>-0.11</v>
      </c>
      <c r="D51" s="35">
        <v>0.05</v>
      </c>
      <c r="E51" s="35">
        <v>-0.05</v>
      </c>
      <c r="F51" s="35">
        <v>-0.05</v>
      </c>
      <c r="G51" s="35">
        <v>-0.24</v>
      </c>
      <c r="H51" s="35">
        <v>0.13</v>
      </c>
      <c r="I51" s="35"/>
      <c r="J51" s="35"/>
    </row>
    <row r="52" hidden="1" outlineLevel="1" spans="1:10">
      <c r="A52" s="34" t="s">
        <v>170</v>
      </c>
      <c r="B52" s="35">
        <v>0</v>
      </c>
      <c r="C52" s="35">
        <v>0</v>
      </c>
      <c r="H52" s="35">
        <v>0.01</v>
      </c>
      <c r="I52" s="35"/>
      <c r="J52" s="35"/>
    </row>
    <row r="53" hidden="1" outlineLevel="1" spans="1:22">
      <c r="A53" s="34" t="s">
        <v>171</v>
      </c>
      <c r="B53" s="35">
        <v>-0.29</v>
      </c>
      <c r="C53" s="35">
        <v>-0.32</v>
      </c>
      <c r="D53" s="35">
        <v>-0.24</v>
      </c>
      <c r="E53" s="35">
        <v>-0.53</v>
      </c>
      <c r="F53" s="35">
        <v>-0.4</v>
      </c>
      <c r="G53" s="35">
        <v>-0.51</v>
      </c>
      <c r="H53" s="35">
        <v>-0.35</v>
      </c>
      <c r="I53" s="35"/>
      <c r="J53" s="35"/>
      <c r="Q53" s="43"/>
      <c r="R53" s="43"/>
      <c r="U53" s="43"/>
      <c r="V53" s="43"/>
    </row>
    <row r="54" hidden="1" outlineLevel="1" spans="1:22">
      <c r="A54" s="34" t="s">
        <v>172</v>
      </c>
      <c r="B54" s="35">
        <v>-0.24</v>
      </c>
      <c r="C54" s="35">
        <v>-0.22</v>
      </c>
      <c r="D54" s="35">
        <v>0.21</v>
      </c>
      <c r="E54" s="35">
        <v>-0.26</v>
      </c>
      <c r="F54" s="35">
        <v>-0.08</v>
      </c>
      <c r="G54" s="35">
        <v>-0.13</v>
      </c>
      <c r="H54" s="35">
        <v>-0.18</v>
      </c>
      <c r="I54" s="35"/>
      <c r="J54" s="35"/>
      <c r="Q54" s="43"/>
      <c r="R54" s="43"/>
      <c r="U54" s="43"/>
      <c r="V54" s="43"/>
    </row>
    <row r="55" hidden="1" outlineLevel="1" spans="1:22">
      <c r="A55" s="34" t="s">
        <v>173</v>
      </c>
      <c r="B55" s="35">
        <v>0.36</v>
      </c>
      <c r="C55" s="35">
        <v>1.19</v>
      </c>
      <c r="D55" s="35">
        <v>0.54</v>
      </c>
      <c r="E55" s="35">
        <v>0.27</v>
      </c>
      <c r="F55" s="35">
        <v>-0.51</v>
      </c>
      <c r="G55" s="35">
        <v>-0.03</v>
      </c>
      <c r="H55" s="35">
        <v>0.53</v>
      </c>
      <c r="I55" s="35"/>
      <c r="J55" s="35"/>
      <c r="Q55" s="43"/>
      <c r="R55" s="43"/>
      <c r="U55" s="43"/>
      <c r="V55" s="43"/>
    </row>
    <row r="56" hidden="1" outlineLevel="1" spans="1:1">
      <c r="A56" s="34" t="s">
        <v>201</v>
      </c>
    </row>
    <row r="57" hidden="1" outlineLevel="1" spans="1:21">
      <c r="A57" s="34" t="s">
        <v>174</v>
      </c>
      <c r="B57" s="35">
        <v>0.05</v>
      </c>
      <c r="C57" s="35">
        <v>0.12</v>
      </c>
      <c r="D57" s="35">
        <v>0.01</v>
      </c>
      <c r="E57" s="35">
        <v>0.47</v>
      </c>
      <c r="F57" s="35">
        <v>-0.11</v>
      </c>
      <c r="G57" s="35">
        <v>-0.03</v>
      </c>
      <c r="Q57" s="43"/>
      <c r="U57" s="43"/>
    </row>
    <row r="58" hidden="1" outlineLevel="1" spans="1:22">
      <c r="A58" s="34" t="s">
        <v>202</v>
      </c>
      <c r="B58" s="35">
        <v>1.9</v>
      </c>
      <c r="C58" s="35">
        <v>4.01</v>
      </c>
      <c r="D58" s="35">
        <v>5.55</v>
      </c>
      <c r="E58" s="35">
        <v>5.42</v>
      </c>
      <c r="F58" s="35">
        <v>4.83</v>
      </c>
      <c r="G58" s="35">
        <v>5.61</v>
      </c>
      <c r="H58" s="35">
        <v>5.85</v>
      </c>
      <c r="I58" s="35"/>
      <c r="J58" s="35"/>
      <c r="Q58" s="43"/>
      <c r="R58" s="43"/>
      <c r="U58" s="43"/>
      <c r="V58" s="43"/>
    </row>
    <row r="59" collapsed="1" spans="1:1">
      <c r="A59" s="34"/>
    </row>
    <row r="60" spans="1:15">
      <c r="A60" s="34" t="s">
        <v>203</v>
      </c>
      <c r="F60" s="36">
        <f>SUM(F10:F15)</f>
        <v>-1.15</v>
      </c>
      <c r="G60" s="36">
        <f t="shared" ref="G60:O60" si="7">SUM(G10:G15)</f>
        <v>-0.94</v>
      </c>
      <c r="H60" s="37">
        <f t="shared" si="7"/>
        <v>0.14</v>
      </c>
      <c r="I60" s="37">
        <f t="shared" si="7"/>
        <v>-0.645462290756962</v>
      </c>
      <c r="J60" s="37">
        <f t="shared" si="7"/>
        <v>-0.30654468189104</v>
      </c>
      <c r="K60" s="37">
        <f t="shared" si="7"/>
        <v>-0.697355308819714</v>
      </c>
      <c r="L60" s="37">
        <f t="shared" si="7"/>
        <v>-0.60297945793666</v>
      </c>
      <c r="M60" s="37">
        <f t="shared" si="7"/>
        <v>-0.809033485026508</v>
      </c>
      <c r="N60" s="37">
        <f t="shared" si="7"/>
        <v>-0.679416932208374</v>
      </c>
      <c r="O60" s="37">
        <f t="shared" si="7"/>
        <v>-0.164173848673414</v>
      </c>
    </row>
    <row r="61" spans="1:1">
      <c r="A61" s="34"/>
    </row>
    <row r="62" spans="1:26">
      <c r="A62" s="34"/>
      <c r="D62" s="35"/>
      <c r="E62" s="35"/>
      <c r="F62" s="35"/>
      <c r="G62" s="35"/>
      <c r="H62" s="35"/>
      <c r="I62" s="35"/>
      <c r="J62" s="35"/>
      <c r="Q62" s="43"/>
      <c r="R62" s="43"/>
      <c r="T62" s="43"/>
      <c r="U62" s="43"/>
      <c r="V62" s="43"/>
      <c r="X62" s="43"/>
      <c r="Z62" s="43"/>
    </row>
    <row r="63" spans="1:21">
      <c r="A63" s="34"/>
      <c r="D63" s="35"/>
      <c r="E63" s="35"/>
      <c r="F63" s="35"/>
      <c r="G63" s="35"/>
      <c r="H63" s="35"/>
      <c r="I63" s="35"/>
      <c r="J63" s="35"/>
      <c r="Q63" s="43"/>
      <c r="U63" s="43"/>
    </row>
    <row r="64" spans="1:22">
      <c r="A64" s="34"/>
      <c r="D64" s="35"/>
      <c r="E64" s="35"/>
      <c r="F64" s="35"/>
      <c r="G64" s="35"/>
      <c r="H64" s="35"/>
      <c r="I64" s="35"/>
      <c r="J64" s="35"/>
      <c r="Q64" s="43"/>
      <c r="R64" s="43"/>
      <c r="U64" s="43"/>
      <c r="V64" s="43"/>
    </row>
    <row r="65" spans="1:27">
      <c r="A65" s="34"/>
      <c r="B65" s="33"/>
      <c r="C65" s="33"/>
      <c r="D65" s="33"/>
      <c r="E65" s="33"/>
      <c r="F65" s="33"/>
      <c r="G65" s="33"/>
      <c r="H65" s="33"/>
      <c r="I65" s="33"/>
      <c r="J65" s="33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>
      <c r="A66" s="34"/>
      <c r="B66" s="33"/>
      <c r="C66" s="33"/>
      <c r="D66" s="33"/>
      <c r="E66" s="33"/>
      <c r="F66" s="33"/>
      <c r="G66" s="33"/>
      <c r="H66" s="33"/>
      <c r="I66" s="33"/>
      <c r="J66" s="33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>
      <c r="A67" s="34"/>
      <c r="B67" s="33"/>
      <c r="C67" s="33"/>
      <c r="D67" s="33"/>
      <c r="E67" s="33"/>
      <c r="F67" s="33"/>
      <c r="G67" s="33"/>
      <c r="H67" s="33"/>
      <c r="I67" s="33"/>
      <c r="J67" s="33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>
      <c r="A68" s="34"/>
      <c r="B68" s="33"/>
      <c r="C68" s="33"/>
      <c r="D68" s="33"/>
      <c r="E68" s="33"/>
      <c r="F68" s="33"/>
      <c r="G68" s="33"/>
      <c r="H68" s="33"/>
      <c r="I68" s="33"/>
      <c r="J68" s="33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10">
      <c r="A69" s="34"/>
      <c r="D69" s="33"/>
      <c r="E69" s="33"/>
      <c r="F69" s="33"/>
      <c r="G69" s="33"/>
      <c r="H69" s="33"/>
      <c r="I69" s="33"/>
      <c r="J69" s="33"/>
    </row>
    <row r="70" spans="1:27">
      <c r="A70" s="34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10">
      <c r="A71" s="34"/>
      <c r="D71" s="33"/>
      <c r="E71" s="33"/>
      <c r="F71" s="33"/>
      <c r="G71" s="33"/>
      <c r="H71" s="33"/>
      <c r="I71" s="33"/>
      <c r="J71" s="33"/>
    </row>
    <row r="72" spans="1:1">
      <c r="A72" s="34"/>
    </row>
    <row r="73" spans="1:1">
      <c r="A73" s="34"/>
    </row>
    <row r="74" spans="1:1">
      <c r="A74" s="34"/>
    </row>
    <row r="75" spans="1:10">
      <c r="A75" s="34"/>
      <c r="B75" s="33"/>
      <c r="C75" s="33"/>
      <c r="D75" s="33"/>
      <c r="E75" s="33"/>
      <c r="F75" s="33"/>
      <c r="G75" s="33"/>
      <c r="H75" s="33"/>
      <c r="I75" s="33"/>
      <c r="J75" s="33"/>
    </row>
    <row r="76" spans="1:10">
      <c r="A76" s="34"/>
      <c r="B76" s="33"/>
      <c r="C76" s="33"/>
      <c r="D76" s="33"/>
      <c r="E76" s="33"/>
      <c r="F76" s="33"/>
      <c r="G76" s="33"/>
      <c r="H76" s="33"/>
      <c r="I76" s="33"/>
      <c r="J76" s="33"/>
    </row>
    <row r="96" spans="1:1">
      <c r="A96" s="34" t="s">
        <v>111</v>
      </c>
    </row>
    <row r="97" spans="1:1">
      <c r="A97" s="44" t="s">
        <v>112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52"/>
  <sheetViews>
    <sheetView showGridLines="0" topLeftCell="B14" workbookViewId="0">
      <selection activeCell="E36" sqref="E36"/>
    </sheetView>
  </sheetViews>
  <sheetFormatPr defaultColWidth="9" defaultRowHeight="13.5"/>
  <cols>
    <col min="3" max="3" width="39" customWidth="1"/>
    <col min="4" max="4" width="10.375" style="1"/>
    <col min="5" max="11" width="13.75" style="1"/>
    <col min="12" max="16" width="12.625" style="1"/>
  </cols>
  <sheetData>
    <row r="3" ht="14.25" spans="3:16">
      <c r="C3" s="2"/>
      <c r="D3" s="3">
        <v>2018</v>
      </c>
      <c r="E3" s="3">
        <v>2019</v>
      </c>
      <c r="F3" s="3">
        <v>2020</v>
      </c>
      <c r="G3" s="3">
        <v>2021</v>
      </c>
      <c r="H3" s="3">
        <v>2022</v>
      </c>
      <c r="I3" s="3">
        <v>2023</v>
      </c>
      <c r="J3" s="3">
        <v>2024</v>
      </c>
      <c r="K3" s="3">
        <v>2025</v>
      </c>
      <c r="L3" s="1">
        <v>2026</v>
      </c>
      <c r="M3" s="1">
        <v>2027</v>
      </c>
      <c r="N3" s="1">
        <v>2028</v>
      </c>
      <c r="O3" s="1">
        <v>2029</v>
      </c>
      <c r="P3" s="1">
        <v>2030</v>
      </c>
    </row>
    <row r="4" ht="14.25" spans="3:11">
      <c r="C4" s="4" t="s">
        <v>105</v>
      </c>
      <c r="D4" s="5">
        <f>IS!H34</f>
        <v>5.74</v>
      </c>
      <c r="E4" s="5">
        <f>IS!I34</f>
        <v>6.31350261</v>
      </c>
      <c r="F4" s="5">
        <f>IS!J34</f>
        <v>6.6722541126</v>
      </c>
      <c r="G4" s="5">
        <f>IS!K34</f>
        <v>7.759776958386</v>
      </c>
      <c r="H4" s="5">
        <f>IS!L34</f>
        <v>8.80704115497582</v>
      </c>
      <c r="I4" s="5">
        <f>IS!M34</f>
        <v>10.2698850016858</v>
      </c>
      <c r="J4" s="5">
        <f>IS!N34</f>
        <v>11.4629602585842</v>
      </c>
      <c r="K4" s="5">
        <f>IS!O34</f>
        <v>13.028942674194</v>
      </c>
    </row>
    <row r="5" ht="14.25" spans="3:11">
      <c r="C5" s="4" t="s">
        <v>204</v>
      </c>
      <c r="D5" s="5">
        <f>IS!H31</f>
        <v>1.95</v>
      </c>
      <c r="E5" s="5">
        <f>IS!I31</f>
        <v>2.10450087</v>
      </c>
      <c r="F5" s="5">
        <f>IS!J31</f>
        <v>2.2240847042</v>
      </c>
      <c r="G5" s="5">
        <f>IS!K31</f>
        <v>2.586592319462</v>
      </c>
      <c r="H5" s="5">
        <f>IS!L31</f>
        <v>2.93568038499194</v>
      </c>
      <c r="I5" s="5">
        <f>IS!M31</f>
        <v>3.42329500056193</v>
      </c>
      <c r="J5" s="5">
        <f>IS!N31</f>
        <v>3.82098675286141</v>
      </c>
      <c r="K5" s="5">
        <f>IS!O31</f>
        <v>4.34298089139801</v>
      </c>
    </row>
    <row r="6" ht="14.25" spans="3:11">
      <c r="C6" s="4" t="s">
        <v>205</v>
      </c>
      <c r="D6" s="5">
        <f>IS!H19</f>
        <v>-0.3</v>
      </c>
      <c r="E6" s="5">
        <f>IS!I19</f>
        <v>-0.356556</v>
      </c>
      <c r="F6" s="5">
        <f>IS!J19</f>
        <v>-0.38006436</v>
      </c>
      <c r="G6" s="5">
        <f>IS!K19</f>
        <v>-0.4560746268</v>
      </c>
      <c r="H6" s="5">
        <f>IS!L19</f>
        <v>-0.518600688276</v>
      </c>
      <c r="I6" s="5">
        <f>IS!M19</f>
        <v>-0.60690930766716</v>
      </c>
      <c r="J6" s="5">
        <f>IS!N19</f>
        <v>-0.677833747648626</v>
      </c>
      <c r="K6" s="5">
        <f>IS!O19</f>
        <v>-0.771893374912476</v>
      </c>
    </row>
    <row r="7" ht="14.25" spans="3:11">
      <c r="C7" s="4" t="s">
        <v>206</v>
      </c>
      <c r="D7" s="5">
        <f>D4+D5+D6</f>
        <v>7.39</v>
      </c>
      <c r="E7" s="5">
        <f t="shared" ref="E7:K7" si="0">E4+E5+E6</f>
        <v>8.06144748</v>
      </c>
      <c r="F7" s="5">
        <f t="shared" si="0"/>
        <v>8.5162744568</v>
      </c>
      <c r="G7" s="5">
        <f t="shared" si="0"/>
        <v>9.890294651048</v>
      </c>
      <c r="H7" s="5">
        <f t="shared" si="0"/>
        <v>11.2241208516918</v>
      </c>
      <c r="I7" s="5">
        <f t="shared" si="0"/>
        <v>13.0862706945805</v>
      </c>
      <c r="J7" s="5">
        <f t="shared" si="0"/>
        <v>14.606113263797</v>
      </c>
      <c r="K7" s="5">
        <f t="shared" si="0"/>
        <v>16.6000301906796</v>
      </c>
    </row>
    <row r="8" ht="14.25" spans="3:11">
      <c r="C8" s="4" t="s">
        <v>207</v>
      </c>
      <c r="D8" s="3"/>
      <c r="E8" s="6">
        <f t="shared" ref="E8:K8" si="1">E7/D7-1</f>
        <v>0.0908589282814609</v>
      </c>
      <c r="F8" s="6">
        <f t="shared" si="1"/>
        <v>0.0564200136425128</v>
      </c>
      <c r="G8" s="6">
        <f t="shared" si="1"/>
        <v>0.161340525275215</v>
      </c>
      <c r="H8" s="6">
        <f t="shared" si="1"/>
        <v>0.134862129765004</v>
      </c>
      <c r="I8" s="6">
        <f t="shared" si="1"/>
        <v>0.165906075628909</v>
      </c>
      <c r="J8" s="6">
        <f t="shared" si="1"/>
        <v>0.116140236182482</v>
      </c>
      <c r="K8" s="6">
        <f t="shared" si="1"/>
        <v>0.136512492466063</v>
      </c>
    </row>
    <row r="9" ht="14.25" spans="3:11">
      <c r="C9" s="4" t="s">
        <v>208</v>
      </c>
      <c r="D9" s="5">
        <f>D7*0.25</f>
        <v>1.8475</v>
      </c>
      <c r="E9" s="5">
        <f t="shared" ref="E9:K9" si="2">E7*0.25</f>
        <v>2.01536187</v>
      </c>
      <c r="F9" s="5">
        <f t="shared" si="2"/>
        <v>2.1290686142</v>
      </c>
      <c r="G9" s="5">
        <f t="shared" si="2"/>
        <v>2.472573662762</v>
      </c>
      <c r="H9" s="5">
        <f t="shared" si="2"/>
        <v>2.80603021292294</v>
      </c>
      <c r="I9" s="5">
        <f t="shared" si="2"/>
        <v>3.27156767364514</v>
      </c>
      <c r="J9" s="5">
        <f t="shared" si="2"/>
        <v>3.65152831594926</v>
      </c>
      <c r="K9" s="5">
        <f t="shared" si="2"/>
        <v>4.15000754766989</v>
      </c>
    </row>
    <row r="10" ht="14.25" spans="3:11">
      <c r="C10" s="4" t="s">
        <v>209</v>
      </c>
      <c r="D10" s="5">
        <f>D7-D9</f>
        <v>5.5425</v>
      </c>
      <c r="E10" s="5">
        <f t="shared" ref="E10:K10" si="3">E7-E9</f>
        <v>6.04608561</v>
      </c>
      <c r="F10" s="5">
        <f t="shared" si="3"/>
        <v>6.3872058426</v>
      </c>
      <c r="G10" s="5">
        <f t="shared" si="3"/>
        <v>7.417720988286</v>
      </c>
      <c r="H10" s="5">
        <f t="shared" si="3"/>
        <v>8.41809063876882</v>
      </c>
      <c r="I10" s="5">
        <f t="shared" si="3"/>
        <v>9.81470302093541</v>
      </c>
      <c r="J10" s="5">
        <f t="shared" si="3"/>
        <v>10.9545849478478</v>
      </c>
      <c r="K10" s="5">
        <f t="shared" si="3"/>
        <v>12.4500226430097</v>
      </c>
    </row>
    <row r="11" ht="14.25" spans="3:11">
      <c r="C11" s="4" t="s">
        <v>210</v>
      </c>
      <c r="D11" s="5">
        <f>CS!H5</f>
        <v>0.2</v>
      </c>
      <c r="E11" s="5">
        <f>CS!I5</f>
        <v>0.3302296</v>
      </c>
      <c r="F11" s="5">
        <f>CS!J5</f>
        <v>0.440526272</v>
      </c>
      <c r="G11" s="5">
        <f>CS!K5</f>
        <v>0.6321541408</v>
      </c>
      <c r="H11" s="5">
        <f>CS!L5</f>
        <v>0.6968254832</v>
      </c>
      <c r="I11" s="5">
        <f>CS!M5</f>
        <v>0.7856015723968</v>
      </c>
      <c r="J11" s="5">
        <f>CS!N5</f>
        <v>0.881978434676608</v>
      </c>
      <c r="K11" s="5">
        <f>CS!O5</f>
        <v>1.00176253385155</v>
      </c>
    </row>
    <row r="12" ht="14.25" spans="3:11">
      <c r="C12" s="4" t="s">
        <v>211</v>
      </c>
      <c r="D12" s="5">
        <f>CS!H7</f>
        <v>0.34</v>
      </c>
      <c r="E12" s="5">
        <f>CS!I7</f>
        <v>0.38</v>
      </c>
      <c r="F12" s="5">
        <f>CS!J7</f>
        <v>0.456</v>
      </c>
      <c r="G12" s="5">
        <f>CS!K7</f>
        <v>0.5472</v>
      </c>
      <c r="H12" s="5">
        <f>CS!L7</f>
        <v>0.65664</v>
      </c>
      <c r="I12" s="5">
        <f>CS!M7</f>
        <v>0.787968</v>
      </c>
      <c r="J12" s="5">
        <f>CS!N7</f>
        <v>0.9455616</v>
      </c>
      <c r="K12" s="5">
        <f>CS!O7</f>
        <v>1.13467392</v>
      </c>
    </row>
    <row r="13" ht="14.25" spans="3:11">
      <c r="C13" s="4" t="s">
        <v>212</v>
      </c>
      <c r="D13" s="5">
        <f>CS!H60</f>
        <v>0.14</v>
      </c>
      <c r="E13" s="5">
        <f>CS!I60</f>
        <v>-0.645462290756962</v>
      </c>
      <c r="F13" s="5">
        <f>CS!J60</f>
        <v>-0.30654468189104</v>
      </c>
      <c r="G13" s="5">
        <f>CS!K60</f>
        <v>-0.697355308819714</v>
      </c>
      <c r="H13" s="5">
        <f>CS!L60</f>
        <v>-0.60297945793666</v>
      </c>
      <c r="I13" s="5">
        <f>CS!M60</f>
        <v>-0.809033485026508</v>
      </c>
      <c r="J13" s="5">
        <f>CS!N60</f>
        <v>-0.679416932208374</v>
      </c>
      <c r="K13" s="5">
        <f>CS!O60</f>
        <v>-0.164173848673414</v>
      </c>
    </row>
    <row r="14" ht="14.25" spans="3:11">
      <c r="C14" s="4" t="s">
        <v>213</v>
      </c>
      <c r="D14" s="5">
        <f>资本开支假设!F8</f>
        <v>2.7</v>
      </c>
      <c r="E14" s="5">
        <f>资本开支假设!G8</f>
        <v>2.1364</v>
      </c>
      <c r="F14" s="5">
        <f>资本开支假设!H8</f>
        <v>2.425224</v>
      </c>
      <c r="G14" s="5">
        <f>资本开支假设!I8</f>
        <v>2.96785984</v>
      </c>
      <c r="H14" s="5">
        <f>资本开支假设!J8</f>
        <v>3.2160174144</v>
      </c>
      <c r="I14" s="5">
        <f>资本开支假设!K8</f>
        <v>3.780880200704</v>
      </c>
      <c r="J14" s="5">
        <f>资本开支假设!L8</f>
        <v>4.24467103281664</v>
      </c>
      <c r="K14" s="5">
        <f>资本开支假设!M8</f>
        <v>4.9203683980673</v>
      </c>
    </row>
    <row r="15" ht="14.25" spans="3:16">
      <c r="C15" s="4" t="s">
        <v>214</v>
      </c>
      <c r="D15" s="7">
        <f>D10+D11+D12-D13-D14</f>
        <v>3.2425</v>
      </c>
      <c r="E15" s="7">
        <f t="shared" ref="E15:K15" si="4">E10+E11+E12-E13-E14</f>
        <v>5.26537750075696</v>
      </c>
      <c r="F15" s="7">
        <f t="shared" si="4"/>
        <v>5.16505279649104</v>
      </c>
      <c r="G15" s="7">
        <f t="shared" si="4"/>
        <v>6.32657059790572</v>
      </c>
      <c r="H15" s="7">
        <f t="shared" si="4"/>
        <v>7.15851816550548</v>
      </c>
      <c r="I15" s="7">
        <f t="shared" si="4"/>
        <v>8.41642587765472</v>
      </c>
      <c r="J15" s="7">
        <f t="shared" si="4"/>
        <v>9.21687088191611</v>
      </c>
      <c r="K15" s="7">
        <f t="shared" si="4"/>
        <v>9.83026454746735</v>
      </c>
      <c r="L15" s="27">
        <f t="shared" ref="L15:P15" si="5">K15*(1+L16)</f>
        <v>10.8132910022141</v>
      </c>
      <c r="M15" s="27">
        <f t="shared" si="5"/>
        <v>11.8946201024355</v>
      </c>
      <c r="N15" s="27">
        <f t="shared" si="5"/>
        <v>12.4893511075573</v>
      </c>
      <c r="O15" s="27">
        <f t="shared" si="5"/>
        <v>13.1138186629351</v>
      </c>
      <c r="P15" s="27">
        <f t="shared" si="5"/>
        <v>13.7695095960819</v>
      </c>
    </row>
    <row r="16" ht="14.25" spans="3:16">
      <c r="C16" s="8" t="s">
        <v>207</v>
      </c>
      <c r="D16" s="3"/>
      <c r="E16" s="9">
        <f t="shared" ref="E16:K16" si="6">E15/D15-1</f>
        <v>0.623863531459355</v>
      </c>
      <c r="F16" s="9">
        <f t="shared" si="6"/>
        <v>-0.0190536584036947</v>
      </c>
      <c r="G16" s="9">
        <f t="shared" si="6"/>
        <v>0.224880141051758</v>
      </c>
      <c r="H16" s="9">
        <f t="shared" si="6"/>
        <v>0.131500558592543</v>
      </c>
      <c r="I16" s="9">
        <f t="shared" si="6"/>
        <v>0.175721802063823</v>
      </c>
      <c r="J16" s="9">
        <f t="shared" si="6"/>
        <v>0.0951050975671925</v>
      </c>
      <c r="K16" s="9">
        <f t="shared" si="6"/>
        <v>0.0665511835209434</v>
      </c>
      <c r="L16" s="28">
        <v>0.1</v>
      </c>
      <c r="M16" s="28">
        <v>0.1</v>
      </c>
      <c r="N16" s="28">
        <v>0.05</v>
      </c>
      <c r="O16" s="28">
        <v>0.05</v>
      </c>
      <c r="P16" s="28">
        <v>0.05</v>
      </c>
    </row>
    <row r="20" ht="14.25" spans="3:4">
      <c r="C20" s="10" t="s">
        <v>215</v>
      </c>
      <c r="D20" s="10"/>
    </row>
    <row r="21" ht="14.25" spans="3:4">
      <c r="C21" s="8" t="s">
        <v>216</v>
      </c>
      <c r="D21" s="11">
        <f>D24</f>
        <v>0.08351738</v>
      </c>
    </row>
    <row r="22" ht="14.25" spans="3:4">
      <c r="C22" s="8" t="s">
        <v>217</v>
      </c>
      <c r="D22" s="11">
        <v>0.025</v>
      </c>
    </row>
    <row r="23" ht="14.25" spans="3:4">
      <c r="C23" s="8" t="s">
        <v>218</v>
      </c>
      <c r="D23" s="11">
        <v>0.0225</v>
      </c>
    </row>
    <row r="24" ht="14.25" spans="3:4">
      <c r="C24" s="8" t="s">
        <v>219</v>
      </c>
      <c r="D24" s="11">
        <f>D25+D27*(D26-D25)</f>
        <v>0.08351738</v>
      </c>
    </row>
    <row r="25" ht="14.25" spans="3:4">
      <c r="C25" s="8" t="s">
        <v>220</v>
      </c>
      <c r="D25" s="11">
        <v>0.0317</v>
      </c>
    </row>
    <row r="26" ht="14.25" spans="3:4">
      <c r="C26" s="8" t="s">
        <v>221</v>
      </c>
      <c r="D26" s="11">
        <v>0.095</v>
      </c>
    </row>
    <row r="27" ht="14.25" spans="3:4">
      <c r="C27" s="8" t="s">
        <v>222</v>
      </c>
      <c r="D27" s="12">
        <v>0.8186</v>
      </c>
    </row>
    <row r="28" ht="14.25" spans="3:4">
      <c r="C28" s="8" t="s">
        <v>223</v>
      </c>
      <c r="D28" s="11">
        <v>0.003</v>
      </c>
    </row>
    <row r="31" ht="14.25" spans="3:4">
      <c r="C31" s="10" t="s">
        <v>224</v>
      </c>
      <c r="D31" s="13"/>
    </row>
    <row r="32" ht="14.25" spans="3:16">
      <c r="C32" s="8" t="s">
        <v>225</v>
      </c>
      <c r="D32" s="8"/>
      <c r="E32" s="3">
        <f>1/(1+$D$21)^(E3-$E$3)</f>
        <v>1</v>
      </c>
      <c r="F32" s="14">
        <f>1/(1+$D$21)^(F3-$E$3)</f>
        <v>0.922920128886165</v>
      </c>
      <c r="G32" s="14">
        <f>1/(1+$D$21)^(G3-$E$3)</f>
        <v>0.851781564303256</v>
      </c>
      <c r="H32" s="14">
        <f>1/(1+$D$21)^(H3-$E$3)</f>
        <v>0.78612635110962</v>
      </c>
      <c r="I32" s="14">
        <f>1/(1+$D$21)^(I3-$E$3)</f>
        <v>0.725531833286902</v>
      </c>
      <c r="J32" s="14">
        <f>1/(1+$D$21)^(J3-$E$3)</f>
        <v>0.669607933088163</v>
      </c>
      <c r="K32" s="14">
        <f>1/(1+$D$21)^(K3-$E$3)</f>
        <v>0.617994639908926</v>
      </c>
      <c r="L32" s="14">
        <f>1/(1+$D$21)^(L3-$E$3)</f>
        <v>0.570359692715705</v>
      </c>
      <c r="M32" s="14">
        <f>1/(1+$D$21)^(M3-$E$3)</f>
        <v>0.526396441112652</v>
      </c>
      <c r="N32" s="14">
        <f>1/(1+$D$21)^(N3-$E$3)</f>
        <v>0.485821871276908</v>
      </c>
      <c r="O32" s="14">
        <f>1/(1+$D$21)^(O3-$E$3)</f>
        <v>0.448374784054602</v>
      </c>
      <c r="P32" s="14">
        <f>1/(1+$D$21)^(P3-$E$3)</f>
        <v>0.413814113488979</v>
      </c>
    </row>
    <row r="33" ht="14.25" spans="3:16">
      <c r="C33" s="8" t="s">
        <v>226</v>
      </c>
      <c r="D33" s="8"/>
      <c r="E33" s="7">
        <f>E15*E32</f>
        <v>5.26537750075696</v>
      </c>
      <c r="F33" s="7">
        <f t="shared" ref="F33:P33" si="7">F15*F32</f>
        <v>4.76693119264135</v>
      </c>
      <c r="G33" s="7">
        <f t="shared" si="7"/>
        <v>5.38885620055912</v>
      </c>
      <c r="H33" s="7">
        <f t="shared" si="7"/>
        <v>5.62749976480076</v>
      </c>
      <c r="I33" s="7">
        <f t="shared" si="7"/>
        <v>6.10638489673814</v>
      </c>
      <c r="J33" s="7">
        <f t="shared" si="7"/>
        <v>6.17168986078032</v>
      </c>
      <c r="K33" s="7">
        <f t="shared" si="7"/>
        <v>6.07505079922156</v>
      </c>
      <c r="L33" s="7">
        <f t="shared" si="7"/>
        <v>6.16746533326832</v>
      </c>
      <c r="M33" s="7">
        <f t="shared" si="7"/>
        <v>6.26128569030905</v>
      </c>
      <c r="N33" s="7">
        <f t="shared" si="7"/>
        <v>6.06759992610779</v>
      </c>
      <c r="O33" s="7">
        <f t="shared" si="7"/>
        <v>5.87990561112474</v>
      </c>
      <c r="P33" s="7">
        <f t="shared" si="7"/>
        <v>5.69801740668062</v>
      </c>
    </row>
    <row r="34" ht="14.25" spans="3:16">
      <c r="C34" s="8" t="s">
        <v>227</v>
      </c>
      <c r="D34" s="8"/>
      <c r="E34" s="15">
        <f>SUM(E33:P33)</f>
        <v>69.4760641829888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ht="14.25" spans="3:16">
      <c r="C35" s="8" t="s">
        <v>228</v>
      </c>
      <c r="D35" s="8"/>
      <c r="E35" s="15">
        <f>P15/(D21-D22)*P32</f>
        <v>97.3730779929078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14.25" spans="3:16">
      <c r="C36" s="8" t="s">
        <v>229</v>
      </c>
      <c r="D36" s="8"/>
      <c r="E36" s="15">
        <f>E34+E35</f>
        <v>166.849142175897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4.25" spans="3:16">
      <c r="C37" s="8" t="s">
        <v>230</v>
      </c>
      <c r="D37" s="8"/>
      <c r="E37" s="15">
        <f>0-BS!I3</f>
        <v>-27.199988005743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4.25" spans="3:16">
      <c r="C38" s="8" t="s">
        <v>231</v>
      </c>
      <c r="D38" s="8"/>
      <c r="E38" s="15">
        <f>BS!I48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4.25" spans="1:16">
      <c r="A39" s="1" t="s">
        <v>232</v>
      </c>
      <c r="B39" s="1"/>
      <c r="C39" s="8" t="s">
        <v>233</v>
      </c>
      <c r="D39" s="8"/>
      <c r="E39" s="15">
        <f>(E34+P15/(D21-D22)*P32-E37-E38)</f>
        <v>194.04913018164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4.25" spans="3:16">
      <c r="C40" s="8"/>
      <c r="D40" s="8"/>
      <c r="E40" s="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ht="14.25" spans="3:16">
      <c r="C41" s="8" t="s">
        <v>30</v>
      </c>
      <c r="D41" s="8"/>
      <c r="E41" s="3">
        <v>4.01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ht="14.25" spans="3:16">
      <c r="C42" s="8" t="s">
        <v>234</v>
      </c>
      <c r="D42" s="8"/>
      <c r="E42" s="5">
        <f>E39/E41</f>
        <v>48.3913042846981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5" spans="3:8">
      <c r="C45" s="16" t="s">
        <v>24</v>
      </c>
      <c r="D45" s="17"/>
      <c r="E45" s="18"/>
      <c r="F45" s="17"/>
      <c r="G45" s="17"/>
      <c r="H45" s="17"/>
    </row>
    <row r="46" ht="14.25" spans="3:8">
      <c r="C46" s="19" t="s">
        <v>235</v>
      </c>
      <c r="D46" s="20"/>
      <c r="E46" s="21"/>
      <c r="F46" s="20"/>
      <c r="G46" s="20"/>
      <c r="H46" s="20"/>
    </row>
    <row r="47" ht="14.25" spans="3:8">
      <c r="C47" s="22">
        <f>F42</f>
        <v>0</v>
      </c>
      <c r="D47" s="23">
        <v>0.02</v>
      </c>
      <c r="E47" s="23">
        <v>0.025</v>
      </c>
      <c r="F47" s="23">
        <v>0.03</v>
      </c>
      <c r="G47" s="23">
        <v>0.035</v>
      </c>
      <c r="H47" s="23">
        <v>0.04</v>
      </c>
    </row>
    <row r="48" ht="14.25" spans="3:8">
      <c r="C48" s="24">
        <v>0.07</v>
      </c>
      <c r="D48" s="25">
        <f>($E$34+$P$15/($C$48-D47)*$P$32-$E$37-$E$38)/$E$41</f>
        <v>52.5277806290135</v>
      </c>
      <c r="E48" s="25">
        <f>($E$34+$P$15/($C$48-E47)*$P$32-$E$37-$E$38)/$E$41</f>
        <v>55.6854516773264</v>
      </c>
      <c r="F48" s="25">
        <f>($E$34+$P$15/($C$48-F47)*$P$32-$E$37-$E$38)/$E$41</f>
        <v>59.6325404877175</v>
      </c>
      <c r="G48" s="25">
        <f>($E$34+$P$15/($C$48-G47)*$P$32-$E$37-$E$38)/$E$41</f>
        <v>64.7073689582204</v>
      </c>
      <c r="H48" s="25">
        <f>($E$34+$P$15/($C$48-H47)*$P$32-$E$37-$E$38)/$E$41</f>
        <v>71.4738069188909</v>
      </c>
    </row>
    <row r="49" ht="14.25" spans="3:8">
      <c r="C49" s="24">
        <v>0.0835</v>
      </c>
      <c r="D49" s="25">
        <f>($E$34+$P$15/($C$49-D47)*$P$32-$E$37-$E$38)/$E$41</f>
        <v>46.4859375995644</v>
      </c>
      <c r="E49" s="25">
        <f>($E$34+$P$15/($C$49-E47)*$P$32-$E$37-$E$38)/$E$41</f>
        <v>48.398518488912</v>
      </c>
      <c r="F49" s="25">
        <f>($E$34+$P$15/($C$49-F47)*$P$32-$E$37-$E$38)/$E$41</f>
        <v>50.6685911332779</v>
      </c>
      <c r="G49" s="25">
        <f>($E$34+$P$15/($C$49-G47)*$P$32-$E$37-$E$38)/$E$41</f>
        <v>53.4067199929769</v>
      </c>
      <c r="H49" s="25">
        <f>($E$34+$P$15/($C$49-H47)*$P$32-$E$37-$E$38)/$E$41</f>
        <v>56.7743037629516</v>
      </c>
    </row>
    <row r="50" ht="14.25" spans="3:8">
      <c r="C50" s="24">
        <v>0.09</v>
      </c>
      <c r="D50" s="25">
        <f>($E$34+$P$15/($C$50-D47)*$P$32-$E$37-$E$38)/$E$41</f>
        <v>44.4080550762089</v>
      </c>
      <c r="E50" s="25">
        <f>($E$34+$P$15/($C$50-E47)*$P$32-$E$37-$E$38)/$E$41</f>
        <v>45.9695407594406</v>
      </c>
      <c r="F50" s="25">
        <f>($E$34+$P$15/($C$50-F47)*$P$32-$E$37-$E$38)/$E$41</f>
        <v>47.7912740565442</v>
      </c>
      <c r="G50" s="25">
        <f>($E$34+$P$15/($C$50-G47)*$P$32-$E$37-$E$38)/$E$41</f>
        <v>49.9442315894848</v>
      </c>
      <c r="H50" s="25">
        <f>($E$34+$P$15/($C$50-H47)*$P$32-$E$37-$E$38)/$E$41</f>
        <v>52.5277806290135</v>
      </c>
    </row>
    <row r="51" ht="14.25" spans="3:8">
      <c r="C51" s="24">
        <v>0.1</v>
      </c>
      <c r="D51" s="25">
        <f>($E$34+$P$15/($C$51-D47)*$P$32-$E$37-$E$38)/$E$41</f>
        <v>41.8706408409575</v>
      </c>
      <c r="E51" s="25">
        <f>($E$34+$P$15/($C$51-E47)*$P$32-$E$37-$E$38)/$E$41</f>
        <v>43.0547674840748</v>
      </c>
      <c r="F51" s="25">
        <f>($E$34+$P$15/($C$51-F47)*$P$32-$E$37-$E$38)/$E$41</f>
        <v>44.4080550762089</v>
      </c>
      <c r="G51" s="25">
        <f>($E$34+$P$15/($C$51-G47)*$P$32-$E$37-$E$38)/$E$41</f>
        <v>45.9695407594406</v>
      </c>
      <c r="H51" s="25">
        <f>($E$34+$P$15/($C$51-H47)*$P$32-$E$37-$E$38)/$E$41</f>
        <v>47.7912740565442</v>
      </c>
    </row>
    <row r="52" ht="14.25" spans="3:8">
      <c r="C52" s="26">
        <v>0.105</v>
      </c>
      <c r="D52" s="25">
        <f>($E$34+$P$15/($C$52-D47)*$P$32-$E$37-$E$38)/$E$41</f>
        <v>40.8258232146775</v>
      </c>
      <c r="E52" s="25">
        <f>($E$34+$P$15/($C$52-E47)*$P$32-$E$37-$E$38)/$E$41</f>
        <v>41.8706408409575</v>
      </c>
      <c r="F52" s="25">
        <f>($E$34+$P$15/($C$52-F47)*$P$32-$E$37-$E$38)/$E$41</f>
        <v>43.0547674840748</v>
      </c>
      <c r="G52" s="25">
        <f>($E$34+$P$15/($C$52-G47)*$P$32-$E$37-$E$38)/$E$41</f>
        <v>44.4080550762089</v>
      </c>
      <c r="H52" s="25">
        <f>($E$34+$P$15/($C$52-H47)*$P$32-$E$37-$E$38)/$E$41</f>
        <v>45.9695407594406</v>
      </c>
    </row>
  </sheetData>
  <mergeCells count="12">
    <mergeCell ref="C20:D20"/>
    <mergeCell ref="C32:D32"/>
    <mergeCell ref="C33:D33"/>
    <mergeCell ref="C34:D34"/>
    <mergeCell ref="C35:D35"/>
    <mergeCell ref="C36:D36"/>
    <mergeCell ref="C37:D37"/>
    <mergeCell ref="C39:D39"/>
    <mergeCell ref="C41:D41"/>
    <mergeCell ref="C42:D42"/>
    <mergeCell ref="C45:H45"/>
    <mergeCell ref="D46:H4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DCF估值结果 </vt:lpstr>
      <vt:lpstr>业务模型</vt:lpstr>
      <vt:lpstr>BS假设</vt:lpstr>
      <vt:lpstr>资本开支假设</vt:lpstr>
      <vt:lpstr>IS</vt:lpstr>
      <vt:lpstr>BS</vt:lpstr>
      <vt:lpstr>CS</vt:lpstr>
      <vt:lpstr>DCF估值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</cp:lastModifiedBy>
  <dcterms:created xsi:type="dcterms:W3CDTF">2020-01-13T15:43:00Z</dcterms:created>
  <dcterms:modified xsi:type="dcterms:W3CDTF">2020-01-16T07:00:52Z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