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always"/>
  <mc:AlternateContent xmlns:mc="http://schemas.openxmlformats.org/markup-compatibility/2006">
    <mc:Choice Requires="x15">
      <x15ac:absPath xmlns:x15ac="http://schemas.microsoft.com/office/spreadsheetml/2010/11/ac" url="C:\Users\63175\Desktop\珠江钢琴\"/>
    </mc:Choice>
  </mc:AlternateContent>
  <xr:revisionPtr revIDLastSave="0" documentId="13_ncr:1_{CE2F4605-7826-4CBA-9FA2-2CC883EFD529}" xr6:coauthVersionLast="45" xr6:coauthVersionMax="45" xr10:uidLastSave="{00000000-0000-0000-0000-000000000000}"/>
  <bookViews>
    <workbookView xWindow="-120" yWindow="-120" windowWidth="20730" windowHeight="11160" tabRatio="900" xr2:uid="{00000000-000D-0000-FFFF-FFFF00000000}"/>
  </bookViews>
  <sheets>
    <sheet name="封面" sheetId="45" r:id="rId1"/>
    <sheet name="使用说明" sheetId="25" r:id="rId2"/>
    <sheet name="业务模型" sheetId="40" r:id="rId3"/>
    <sheet name="利润表" sheetId="41" r:id="rId4"/>
    <sheet name="资产负债表" sheetId="44" r:id="rId5"/>
    <sheet name="现金流量表" sheetId="43" r:id="rId6"/>
    <sheet name="利润表(单季度)" sheetId="42" r:id="rId7"/>
    <sheet name="资产负债假设" sheetId="14" r:id="rId8"/>
    <sheet name="资本开支假设" sheetId="30" r:id="rId9"/>
    <sheet name="IS" sheetId="1" r:id="rId10"/>
    <sheet name="BS" sheetId="3" r:id="rId11"/>
    <sheet name="CS" sheetId="32" r:id="rId12"/>
    <sheet name="DCF估值" sheetId="16" r:id="rId13"/>
    <sheet name="DCF估值结果" sheetId="23" r:id="rId14"/>
  </sheets>
  <externalReferences>
    <externalReference r:id="rId15"/>
  </externalReferences>
  <definedNames>
    <definedName name="cww">#REF!</definedName>
    <definedName name="g">[1]DCF!$F$38</definedName>
    <definedName name="WACC">[1]DCF!$F$19</definedName>
    <definedName name="使用说明" localSheetId="11">#REF!</definedName>
    <definedName name="使用说明" localSheetId="0">#REF!</definedName>
    <definedName name="使用说明">#REF!</definedName>
    <definedName name="一使用说明" localSheetId="11">#REF!</definedName>
    <definedName name="一使用说明" localSheetId="0">#REF!</definedName>
    <definedName name="一使用说明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6" l="1"/>
  <c r="E63" i="16"/>
  <c r="D25" i="16" l="1"/>
  <c r="K66" i="41"/>
  <c r="J66" i="41"/>
  <c r="I66" i="41"/>
  <c r="H66" i="41"/>
  <c r="L13" i="40"/>
  <c r="K13" i="40"/>
  <c r="J13" i="40"/>
  <c r="I13" i="40"/>
  <c r="H13" i="40"/>
  <c r="L66" i="41" l="1"/>
  <c r="D30" i="16"/>
  <c r="C56" i="16"/>
  <c r="C57" i="16" s="1"/>
  <c r="C54" i="16"/>
  <c r="C53" i="16" s="1"/>
  <c r="D28" i="16"/>
  <c r="I16" i="3"/>
  <c r="J16" i="3" s="1"/>
  <c r="K16" i="3" s="1"/>
  <c r="L16" i="3" s="1"/>
  <c r="M16" i="3" s="1"/>
  <c r="K50" i="3"/>
  <c r="L50" i="3" s="1"/>
  <c r="M50" i="3" s="1"/>
  <c r="J50" i="3"/>
  <c r="K48" i="3"/>
  <c r="L48" i="3" s="1"/>
  <c r="M48" i="3" s="1"/>
  <c r="J48" i="3"/>
  <c r="K49" i="3"/>
  <c r="L49" i="3" s="1"/>
  <c r="M49" i="3" s="1"/>
  <c r="J49" i="3"/>
  <c r="J24" i="32"/>
  <c r="J12" i="3"/>
  <c r="K12" i="3" s="1"/>
  <c r="L12" i="3" s="1"/>
  <c r="M12" i="3" s="1"/>
  <c r="I12" i="3"/>
  <c r="E8" i="30"/>
  <c r="F8" i="30"/>
  <c r="G8" i="30"/>
  <c r="H8" i="30"/>
  <c r="D8" i="30"/>
  <c r="J38" i="3"/>
  <c r="K38" i="3" s="1"/>
  <c r="L38" i="3" s="1"/>
  <c r="M38" i="3" s="1"/>
  <c r="I38" i="3"/>
  <c r="J13" i="3"/>
  <c r="K13" i="3" s="1"/>
  <c r="L13" i="3" s="1"/>
  <c r="M13" i="3" s="1"/>
  <c r="I13" i="3"/>
  <c r="I50" i="3"/>
  <c r="I48" i="3"/>
  <c r="J18" i="3" l="1"/>
  <c r="K18" i="3" s="1"/>
  <c r="L18" i="3" s="1"/>
  <c r="M18" i="3" s="1"/>
  <c r="I18" i="3"/>
  <c r="I11" i="3"/>
  <c r="E51" i="3"/>
  <c r="F51" i="3"/>
  <c r="G51" i="3"/>
  <c r="H51" i="3"/>
  <c r="D51" i="3"/>
  <c r="E47" i="3"/>
  <c r="F47" i="3"/>
  <c r="G47" i="3"/>
  <c r="H47" i="3"/>
  <c r="D47" i="3"/>
  <c r="E50" i="3"/>
  <c r="F50" i="3"/>
  <c r="G50" i="3"/>
  <c r="H50" i="3"/>
  <c r="D50" i="3"/>
  <c r="E55" i="1"/>
  <c r="F55" i="1"/>
  <c r="G55" i="1"/>
  <c r="H55" i="1"/>
  <c r="D55" i="1"/>
  <c r="C52" i="42"/>
  <c r="M91" i="30"/>
  <c r="E91" i="30"/>
  <c r="F91" i="30"/>
  <c r="G91" i="30"/>
  <c r="H91" i="30"/>
  <c r="I91" i="30"/>
  <c r="J91" i="30"/>
  <c r="K91" i="30"/>
  <c r="L91" i="30"/>
  <c r="D91" i="30"/>
  <c r="K24" i="32" l="1"/>
  <c r="I13" i="30"/>
  <c r="K10" i="30"/>
  <c r="L10" i="30" s="1"/>
  <c r="M10" i="30" s="1"/>
  <c r="I10" i="30"/>
  <c r="J10" i="30" s="1"/>
  <c r="E63" i="30"/>
  <c r="F63" i="30"/>
  <c r="G63" i="30"/>
  <c r="H63" i="30"/>
  <c r="D63" i="30"/>
  <c r="J25" i="30"/>
  <c r="I25" i="30"/>
  <c r="J19" i="30" s="1"/>
  <c r="J22" i="30" s="1"/>
  <c r="K22" i="30"/>
  <c r="K25" i="30" s="1"/>
  <c r="L19" i="30" s="1"/>
  <c r="I22" i="30"/>
  <c r="I34" i="30"/>
  <c r="K23" i="30"/>
  <c r="L23" i="30" s="1"/>
  <c r="M23" i="30" s="1"/>
  <c r="J23" i="30"/>
  <c r="I23" i="30"/>
  <c r="K7" i="30"/>
  <c r="L7" i="30" s="1"/>
  <c r="J7" i="30"/>
  <c r="J20" i="30" s="1"/>
  <c r="I7" i="30"/>
  <c r="I20" i="30" s="1"/>
  <c r="K19" i="30"/>
  <c r="I19" i="30"/>
  <c r="E23" i="30"/>
  <c r="F23" i="30"/>
  <c r="G23" i="30"/>
  <c r="H23" i="30"/>
  <c r="D23" i="30"/>
  <c r="D35" i="30"/>
  <c r="E25" i="30"/>
  <c r="F25" i="30"/>
  <c r="G25" i="30"/>
  <c r="H25" i="30"/>
  <c r="D25" i="30"/>
  <c r="E19" i="30"/>
  <c r="F19" i="30"/>
  <c r="G19" i="30"/>
  <c r="H19" i="30"/>
  <c r="D19" i="30"/>
  <c r="E20" i="30"/>
  <c r="F20" i="30"/>
  <c r="G20" i="30"/>
  <c r="H20" i="30"/>
  <c r="D20" i="30"/>
  <c r="K8" i="30"/>
  <c r="L8" i="30" s="1"/>
  <c r="M8" i="30" s="1"/>
  <c r="J8" i="30"/>
  <c r="I35" i="30"/>
  <c r="D32" i="30"/>
  <c r="E31" i="30"/>
  <c r="F31" i="30"/>
  <c r="G31" i="30"/>
  <c r="H31" i="30"/>
  <c r="L22" i="30" l="1"/>
  <c r="L25" i="30" s="1"/>
  <c r="M19" i="30" s="1"/>
  <c r="M7" i="30"/>
  <c r="M20" i="30" s="1"/>
  <c r="L20" i="30"/>
  <c r="K20" i="30"/>
  <c r="C63" i="40"/>
  <c r="C62" i="40" s="1"/>
  <c r="C65" i="40" s="1"/>
  <c r="B62" i="40"/>
  <c r="B65" i="40" s="1"/>
  <c r="M22" i="30" l="1"/>
  <c r="M25" i="30" s="1"/>
  <c r="I29" i="41"/>
  <c r="J29" i="41" s="1"/>
  <c r="K29" i="41" s="1"/>
  <c r="L29" i="41" s="1"/>
  <c r="B75" i="41"/>
  <c r="I70" i="41"/>
  <c r="J70" i="41"/>
  <c r="K70" i="41" s="1"/>
  <c r="L70" i="41" s="1"/>
  <c r="H70" i="41"/>
  <c r="I69" i="41"/>
  <c r="J69" i="41" s="1"/>
  <c r="K69" i="41" s="1"/>
  <c r="L69" i="41" s="1"/>
  <c r="H69" i="41"/>
  <c r="L68" i="41"/>
  <c r="K68" i="41"/>
  <c r="J68" i="41"/>
  <c r="H68" i="41"/>
  <c r="I67" i="41"/>
  <c r="J67" i="41" s="1"/>
  <c r="K67" i="41" s="1"/>
  <c r="L67" i="41" s="1"/>
  <c r="H67" i="41"/>
  <c r="K65" i="41"/>
  <c r="I56" i="41"/>
  <c r="J56" i="41" s="1"/>
  <c r="K56" i="41" s="1"/>
  <c r="L56" i="41" s="1"/>
  <c r="H56" i="41"/>
  <c r="I9" i="40"/>
  <c r="J9" i="40" s="1"/>
  <c r="K9" i="40" s="1"/>
  <c r="L9" i="40" s="1"/>
  <c r="G2" i="40"/>
  <c r="B2" i="40"/>
  <c r="F10" i="45" l="1"/>
  <c r="K37" i="16" l="1"/>
  <c r="I37" i="16"/>
  <c r="J37" i="16"/>
  <c r="L37" i="16"/>
  <c r="M37" i="16"/>
  <c r="E35" i="16"/>
  <c r="E52" i="16"/>
  <c r="D52" i="16" s="1"/>
  <c r="G52" i="16"/>
  <c r="H52" i="16" s="1"/>
  <c r="K38" i="32" l="1"/>
  <c r="L38" i="32"/>
  <c r="M38" i="32"/>
  <c r="N38" i="32"/>
  <c r="J38" i="32"/>
  <c r="F51" i="32"/>
  <c r="G51" i="32"/>
  <c r="H51" i="32"/>
  <c r="I51" i="32"/>
  <c r="E51" i="32"/>
  <c r="F49" i="32"/>
  <c r="G49" i="32"/>
  <c r="H49" i="32"/>
  <c r="I49" i="32"/>
  <c r="E49" i="32"/>
  <c r="F46" i="32"/>
  <c r="G46" i="32"/>
  <c r="H46" i="32"/>
  <c r="I46" i="32"/>
  <c r="E46" i="32"/>
  <c r="F45" i="32"/>
  <c r="G45" i="32"/>
  <c r="H45" i="32"/>
  <c r="I45" i="32"/>
  <c r="E45" i="32"/>
  <c r="F44" i="32"/>
  <c r="G44" i="32"/>
  <c r="H44" i="32"/>
  <c r="I44" i="32"/>
  <c r="E44" i="32"/>
  <c r="F41" i="32"/>
  <c r="G41" i="32"/>
  <c r="H41" i="32"/>
  <c r="I41" i="32"/>
  <c r="E41" i="32"/>
  <c r="F43" i="32"/>
  <c r="G43" i="32"/>
  <c r="H43" i="32"/>
  <c r="I43" i="32"/>
  <c r="E43" i="32"/>
  <c r="F40" i="32"/>
  <c r="G40" i="32"/>
  <c r="H40" i="32"/>
  <c r="I40" i="32"/>
  <c r="E40" i="32"/>
  <c r="F39" i="32"/>
  <c r="G39" i="32"/>
  <c r="H39" i="32"/>
  <c r="I39" i="32"/>
  <c r="E39" i="32"/>
  <c r="F38" i="32"/>
  <c r="G38" i="32"/>
  <c r="H38" i="32"/>
  <c r="I38" i="32"/>
  <c r="E38" i="32"/>
  <c r="F28" i="32"/>
  <c r="G28" i="32"/>
  <c r="H28" i="32"/>
  <c r="I28" i="32"/>
  <c r="F35" i="32"/>
  <c r="G35" i="32"/>
  <c r="H35" i="32"/>
  <c r="I35" i="32"/>
  <c r="E35" i="32"/>
  <c r="F32" i="32"/>
  <c r="G32" i="32"/>
  <c r="H32" i="32"/>
  <c r="I32" i="32"/>
  <c r="E32" i="32"/>
  <c r="F33" i="32"/>
  <c r="G33" i="32"/>
  <c r="H33" i="32"/>
  <c r="I33" i="32"/>
  <c r="E33" i="32"/>
  <c r="F29" i="32"/>
  <c r="G29" i="32"/>
  <c r="H29" i="32"/>
  <c r="I29" i="32"/>
  <c r="E29" i="32"/>
  <c r="F30" i="32"/>
  <c r="G30" i="32"/>
  <c r="H30" i="32"/>
  <c r="I30" i="32"/>
  <c r="E30" i="32"/>
  <c r="F34" i="32"/>
  <c r="G34" i="32"/>
  <c r="H34" i="32"/>
  <c r="I34" i="32"/>
  <c r="E34" i="32"/>
  <c r="F31" i="32"/>
  <c r="G31" i="32"/>
  <c r="H31" i="32"/>
  <c r="I31" i="32"/>
  <c r="E31" i="32"/>
  <c r="E28" i="32"/>
  <c r="F27" i="32"/>
  <c r="G27" i="32"/>
  <c r="H27" i="32"/>
  <c r="I27" i="32"/>
  <c r="E27" i="32"/>
  <c r="F24" i="32"/>
  <c r="G24" i="32"/>
  <c r="H24" i="32"/>
  <c r="I24" i="32"/>
  <c r="F23" i="32"/>
  <c r="G23" i="32"/>
  <c r="H23" i="32"/>
  <c r="I23" i="32"/>
  <c r="F22" i="32"/>
  <c r="G22" i="32"/>
  <c r="H22" i="32"/>
  <c r="I22" i="32"/>
  <c r="E23" i="32"/>
  <c r="E22" i="32"/>
  <c r="F21" i="32"/>
  <c r="G21" i="32"/>
  <c r="H21" i="32"/>
  <c r="I21" i="32"/>
  <c r="E21" i="32"/>
  <c r="F20" i="32"/>
  <c r="G20" i="32"/>
  <c r="H20" i="32"/>
  <c r="I20" i="32"/>
  <c r="F19" i="32"/>
  <c r="G19" i="32"/>
  <c r="H19" i="32"/>
  <c r="I19" i="32"/>
  <c r="F18" i="32"/>
  <c r="G18" i="32"/>
  <c r="H18" i="32"/>
  <c r="I18" i="32"/>
  <c r="F17" i="32"/>
  <c r="G17" i="32"/>
  <c r="H17" i="32"/>
  <c r="I17" i="32"/>
  <c r="F16" i="32"/>
  <c r="G16" i="32"/>
  <c r="H16" i="32"/>
  <c r="I16" i="32"/>
  <c r="E17" i="32"/>
  <c r="E18" i="32"/>
  <c r="E19" i="32"/>
  <c r="E20" i="32"/>
  <c r="E24" i="32"/>
  <c r="E16" i="32"/>
  <c r="F15" i="32"/>
  <c r="G15" i="32"/>
  <c r="H15" i="32"/>
  <c r="I15" i="32"/>
  <c r="E15" i="32"/>
  <c r="F14" i="32"/>
  <c r="G14" i="32"/>
  <c r="H14" i="32"/>
  <c r="I14" i="32"/>
  <c r="E14" i="32"/>
  <c r="F13" i="32"/>
  <c r="G13" i="32"/>
  <c r="H13" i="32"/>
  <c r="I13" i="32"/>
  <c r="E13" i="32"/>
  <c r="F12" i="32"/>
  <c r="G12" i="32"/>
  <c r="H12" i="32"/>
  <c r="I12" i="32"/>
  <c r="E12" i="32"/>
  <c r="F11" i="32"/>
  <c r="G11" i="32"/>
  <c r="H11" i="32"/>
  <c r="I11" i="32"/>
  <c r="E11" i="32"/>
  <c r="F10" i="32"/>
  <c r="G10" i="32"/>
  <c r="H10" i="32"/>
  <c r="I10" i="32"/>
  <c r="E10" i="32"/>
  <c r="F8" i="32"/>
  <c r="G8" i="32"/>
  <c r="H8" i="32"/>
  <c r="I8" i="32"/>
  <c r="E8" i="32"/>
  <c r="I25" i="32" l="1"/>
  <c r="E36" i="32"/>
  <c r="E47" i="32"/>
  <c r="F47" i="32"/>
  <c r="F50" i="32" s="1"/>
  <c r="F52" i="32" s="1"/>
  <c r="G47" i="32"/>
  <c r="H25" i="32"/>
  <c r="H36" i="32"/>
  <c r="I47" i="32"/>
  <c r="G25" i="32"/>
  <c r="G50" i="32" s="1"/>
  <c r="G52" i="32" s="1"/>
  <c r="G36" i="32"/>
  <c r="H47" i="32"/>
  <c r="H50" i="32" s="1"/>
  <c r="H52" i="32" s="1"/>
  <c r="E25" i="32"/>
  <c r="E50" i="32" s="1"/>
  <c r="E52" i="32" s="1"/>
  <c r="F25" i="32"/>
  <c r="F36" i="32"/>
  <c r="I36" i="32"/>
  <c r="F37" i="14"/>
  <c r="G37" i="14"/>
  <c r="H37" i="14"/>
  <c r="D95" i="30"/>
  <c r="E95" i="30"/>
  <c r="F95" i="30"/>
  <c r="G95" i="30"/>
  <c r="E96" i="30"/>
  <c r="E94" i="30"/>
  <c r="F94" i="30"/>
  <c r="G94" i="30"/>
  <c r="H94" i="30"/>
  <c r="E92" i="30"/>
  <c r="F92" i="30"/>
  <c r="G92" i="30"/>
  <c r="H92" i="30"/>
  <c r="E75" i="30"/>
  <c r="F75" i="30"/>
  <c r="G75" i="30"/>
  <c r="G70" i="30" s="1"/>
  <c r="G73" i="30" s="1"/>
  <c r="H75" i="30"/>
  <c r="D75" i="30"/>
  <c r="E69" i="30"/>
  <c r="F69" i="30"/>
  <c r="G69" i="30"/>
  <c r="H69" i="30"/>
  <c r="D69" i="30"/>
  <c r="E62" i="30"/>
  <c r="F62" i="30"/>
  <c r="G62" i="30"/>
  <c r="H62" i="30"/>
  <c r="G57" i="30"/>
  <c r="G10" i="30" s="1"/>
  <c r="D62" i="30"/>
  <c r="E56" i="30"/>
  <c r="F56" i="30"/>
  <c r="G56" i="30"/>
  <c r="H56" i="30"/>
  <c r="D56" i="30"/>
  <c r="E38" i="30"/>
  <c r="F38" i="30"/>
  <c r="G38" i="30"/>
  <c r="H38" i="30"/>
  <c r="D38" i="30"/>
  <c r="E37" i="30"/>
  <c r="E32" i="30" s="1"/>
  <c r="F37" i="30"/>
  <c r="G37" i="30"/>
  <c r="H37" i="30"/>
  <c r="D37" i="30"/>
  <c r="F96" i="30" l="1"/>
  <c r="G96" i="30"/>
  <c r="G60" i="30"/>
  <c r="E73" i="30"/>
  <c r="F70" i="30"/>
  <c r="F11" i="30" s="1"/>
  <c r="D70" i="30"/>
  <c r="D11" i="30" s="1"/>
  <c r="E70" i="30"/>
  <c r="E11" i="30" s="1"/>
  <c r="E35" i="30"/>
  <c r="F73" i="30"/>
  <c r="G11" i="30"/>
  <c r="F57" i="30"/>
  <c r="F10" i="30" s="1"/>
  <c r="E57" i="30"/>
  <c r="E10" i="30" s="1"/>
  <c r="E13" i="30" s="1"/>
  <c r="H57" i="30"/>
  <c r="H10" i="30" s="1"/>
  <c r="I50" i="32"/>
  <c r="I52" i="32" s="1"/>
  <c r="D31" i="30"/>
  <c r="E57" i="3"/>
  <c r="E55" i="3" s="1"/>
  <c r="F57" i="3"/>
  <c r="G57" i="3"/>
  <c r="H57" i="3"/>
  <c r="D57" i="3"/>
  <c r="D55" i="3" s="1"/>
  <c r="E56" i="3"/>
  <c r="F56" i="3"/>
  <c r="G56" i="3"/>
  <c r="H56" i="3"/>
  <c r="D56" i="3"/>
  <c r="E54" i="3"/>
  <c r="F54" i="3"/>
  <c r="G54" i="3"/>
  <c r="H54" i="3"/>
  <c r="D54" i="3"/>
  <c r="E49" i="3"/>
  <c r="F49" i="3"/>
  <c r="G49" i="3"/>
  <c r="H49" i="3"/>
  <c r="D49" i="3"/>
  <c r="E48" i="3"/>
  <c r="F48" i="3"/>
  <c r="G48" i="3"/>
  <c r="H48" i="3"/>
  <c r="D48" i="3"/>
  <c r="E46" i="3"/>
  <c r="F46" i="3"/>
  <c r="G46" i="3"/>
  <c r="H46" i="3"/>
  <c r="D46" i="3"/>
  <c r="E45" i="3"/>
  <c r="F45" i="3"/>
  <c r="G45" i="3"/>
  <c r="H45" i="3"/>
  <c r="D45" i="3"/>
  <c r="E43" i="3"/>
  <c r="F43" i="3"/>
  <c r="G43" i="3"/>
  <c r="H43" i="3"/>
  <c r="D43" i="3"/>
  <c r="E42" i="3"/>
  <c r="F42" i="3"/>
  <c r="G42" i="3"/>
  <c r="H42" i="3"/>
  <c r="D42" i="3"/>
  <c r="E41" i="3"/>
  <c r="F41" i="3"/>
  <c r="G41" i="3"/>
  <c r="H41" i="3"/>
  <c r="D41" i="3"/>
  <c r="E40" i="3"/>
  <c r="F40" i="3"/>
  <c r="G40" i="3"/>
  <c r="H40" i="3"/>
  <c r="D40" i="3"/>
  <c r="E39" i="3"/>
  <c r="F39" i="3"/>
  <c r="G39" i="3"/>
  <c r="H39" i="3"/>
  <c r="D39" i="3"/>
  <c r="E38" i="3"/>
  <c r="F38" i="3"/>
  <c r="G38" i="3"/>
  <c r="H38" i="3"/>
  <c r="E37" i="3"/>
  <c r="F37" i="3"/>
  <c r="G37" i="3"/>
  <c r="H37" i="3"/>
  <c r="E36" i="3"/>
  <c r="F36" i="3"/>
  <c r="G36" i="3"/>
  <c r="H36" i="3"/>
  <c r="D37" i="3"/>
  <c r="D38" i="3"/>
  <c r="D36" i="3"/>
  <c r="E34" i="3"/>
  <c r="F34" i="3"/>
  <c r="G34" i="3"/>
  <c r="H34" i="3"/>
  <c r="E35" i="3"/>
  <c r="F35" i="3"/>
  <c r="G35" i="3"/>
  <c r="H35" i="3"/>
  <c r="I35" i="3" s="1"/>
  <c r="J35" i="3" s="1"/>
  <c r="K35" i="3" s="1"/>
  <c r="L35" i="3" s="1"/>
  <c r="M35" i="3" s="1"/>
  <c r="D35" i="3"/>
  <c r="D34" i="3"/>
  <c r="E29" i="3"/>
  <c r="F29" i="3"/>
  <c r="G29" i="3"/>
  <c r="H29" i="3"/>
  <c r="E30" i="3"/>
  <c r="F30" i="3"/>
  <c r="G30" i="3"/>
  <c r="H30" i="3"/>
  <c r="D30" i="3"/>
  <c r="E28" i="3"/>
  <c r="F28" i="3"/>
  <c r="G28" i="3"/>
  <c r="H28" i="3"/>
  <c r="D28" i="3"/>
  <c r="D29" i="3"/>
  <c r="E27" i="3"/>
  <c r="F27" i="3"/>
  <c r="G27" i="3"/>
  <c r="H27" i="3"/>
  <c r="D27" i="3"/>
  <c r="E26" i="3"/>
  <c r="F26" i="3"/>
  <c r="G26" i="3"/>
  <c r="H26" i="3"/>
  <c r="D26" i="3"/>
  <c r="E25" i="3"/>
  <c r="F25" i="3"/>
  <c r="G25" i="3"/>
  <c r="H25" i="3"/>
  <c r="D25" i="3"/>
  <c r="E24" i="3"/>
  <c r="F24" i="3"/>
  <c r="G24" i="3"/>
  <c r="H24" i="3"/>
  <c r="D24" i="3"/>
  <c r="E23" i="3"/>
  <c r="F23" i="3"/>
  <c r="G23" i="3"/>
  <c r="H23" i="3"/>
  <c r="D23" i="3"/>
  <c r="E22" i="3"/>
  <c r="F22" i="3"/>
  <c r="G22" i="3"/>
  <c r="H22" i="3"/>
  <c r="D22" i="3"/>
  <c r="E21" i="3"/>
  <c r="F21" i="3"/>
  <c r="G21" i="3"/>
  <c r="H21" i="3"/>
  <c r="D21" i="3"/>
  <c r="E20" i="3"/>
  <c r="F20" i="3"/>
  <c r="G20" i="3"/>
  <c r="H20" i="3"/>
  <c r="D20" i="3"/>
  <c r="E19" i="3"/>
  <c r="F19" i="3"/>
  <c r="G19" i="3"/>
  <c r="H19" i="3"/>
  <c r="D19" i="3"/>
  <c r="E18" i="3"/>
  <c r="F18" i="3"/>
  <c r="G18" i="3"/>
  <c r="H18" i="3"/>
  <c r="D18" i="3"/>
  <c r="E14" i="3"/>
  <c r="F14" i="3"/>
  <c r="G14" i="3"/>
  <c r="H14" i="3"/>
  <c r="D14" i="3"/>
  <c r="E16" i="3"/>
  <c r="F16" i="3"/>
  <c r="G16" i="3"/>
  <c r="H16" i="3"/>
  <c r="D16" i="3"/>
  <c r="E15" i="3"/>
  <c r="F15" i="3"/>
  <c r="G15" i="3"/>
  <c r="H15" i="3"/>
  <c r="D15" i="3"/>
  <c r="E13" i="3"/>
  <c r="F13" i="3"/>
  <c r="G13" i="3"/>
  <c r="H13" i="3"/>
  <c r="E12" i="3"/>
  <c r="F12" i="3"/>
  <c r="G12" i="3"/>
  <c r="H12" i="3"/>
  <c r="D13" i="3"/>
  <c r="D12" i="3"/>
  <c r="E11" i="3"/>
  <c r="F11" i="3"/>
  <c r="G11" i="3"/>
  <c r="H11" i="3"/>
  <c r="D11" i="3"/>
  <c r="E10" i="3"/>
  <c r="F10" i="3"/>
  <c r="G10" i="3"/>
  <c r="H10" i="3"/>
  <c r="E9" i="3"/>
  <c r="F9" i="3"/>
  <c r="G9" i="3"/>
  <c r="H9" i="3"/>
  <c r="I9" i="3" s="1"/>
  <c r="J9" i="3" s="1"/>
  <c r="K9" i="3" s="1"/>
  <c r="L9" i="3" s="1"/>
  <c r="M9" i="3" s="1"/>
  <c r="D9" i="3"/>
  <c r="D10" i="3"/>
  <c r="E8" i="3"/>
  <c r="F8" i="3"/>
  <c r="G8" i="3"/>
  <c r="H8" i="3"/>
  <c r="D8" i="3"/>
  <c r="G17" i="3" l="1"/>
  <c r="F55" i="3"/>
  <c r="H55" i="3"/>
  <c r="G55" i="3"/>
  <c r="D73" i="30"/>
  <c r="E60" i="30"/>
  <c r="H17" i="3"/>
  <c r="I19" i="3"/>
  <c r="I49" i="3"/>
  <c r="J20" i="32" s="1"/>
  <c r="H60" i="30"/>
  <c r="H32" i="30"/>
  <c r="F32" i="30"/>
  <c r="F13" i="30" s="1"/>
  <c r="G32" i="30"/>
  <c r="G13" i="30" s="1"/>
  <c r="F60" i="30"/>
  <c r="D17" i="3"/>
  <c r="F17" i="3"/>
  <c r="E17" i="3"/>
  <c r="H44" i="3"/>
  <c r="H52" i="3" s="1"/>
  <c r="G44" i="3"/>
  <c r="F44" i="3"/>
  <c r="E44" i="3"/>
  <c r="G31" i="3"/>
  <c r="G32" i="3" s="1"/>
  <c r="F31" i="3"/>
  <c r="E31" i="3"/>
  <c r="H31" i="3"/>
  <c r="H32" i="3" s="1"/>
  <c r="E54" i="1"/>
  <c r="F54" i="1"/>
  <c r="G54" i="1"/>
  <c r="H54" i="1"/>
  <c r="D54" i="1"/>
  <c r="E50" i="1"/>
  <c r="F50" i="1"/>
  <c r="G50" i="1"/>
  <c r="H50" i="1"/>
  <c r="E51" i="1"/>
  <c r="F51" i="1"/>
  <c r="G51" i="1"/>
  <c r="H51" i="1"/>
  <c r="D51" i="1"/>
  <c r="E49" i="1"/>
  <c r="F49" i="1"/>
  <c r="G49" i="1"/>
  <c r="H49" i="1"/>
  <c r="D50" i="1"/>
  <c r="D49" i="1"/>
  <c r="E45" i="1"/>
  <c r="F45" i="1"/>
  <c r="G45" i="1"/>
  <c r="H45" i="1"/>
  <c r="I45" i="1"/>
  <c r="J45" i="1"/>
  <c r="K45" i="1"/>
  <c r="L45" i="1"/>
  <c r="M45" i="1"/>
  <c r="D45" i="1"/>
  <c r="E40" i="1"/>
  <c r="E59" i="1" s="1"/>
  <c r="F40" i="1"/>
  <c r="F59" i="1" s="1"/>
  <c r="G40" i="1"/>
  <c r="G59" i="1" s="1"/>
  <c r="H40" i="1"/>
  <c r="H59" i="1" s="1"/>
  <c r="E39" i="1"/>
  <c r="F39" i="1"/>
  <c r="G39" i="1"/>
  <c r="G47" i="1" s="1"/>
  <c r="H39" i="1"/>
  <c r="E38" i="1"/>
  <c r="F38" i="1"/>
  <c r="G38" i="1"/>
  <c r="H38" i="1"/>
  <c r="I38" i="1"/>
  <c r="J38" i="1"/>
  <c r="K38" i="1"/>
  <c r="L38" i="1"/>
  <c r="M38" i="1"/>
  <c r="E37" i="1"/>
  <c r="F37" i="1"/>
  <c r="G37" i="1"/>
  <c r="H37" i="1"/>
  <c r="D40" i="1"/>
  <c r="D39" i="1"/>
  <c r="D38" i="1"/>
  <c r="D37" i="1"/>
  <c r="E35" i="1"/>
  <c r="F35" i="1"/>
  <c r="G35" i="1"/>
  <c r="G36" i="1" s="1"/>
  <c r="H35" i="1"/>
  <c r="D35" i="1"/>
  <c r="E33" i="1"/>
  <c r="F33" i="1"/>
  <c r="G33" i="1"/>
  <c r="H33" i="1"/>
  <c r="E31" i="1"/>
  <c r="F31" i="1"/>
  <c r="F32" i="1" s="1"/>
  <c r="G31" i="1"/>
  <c r="H31" i="1"/>
  <c r="H32" i="1" s="1"/>
  <c r="D33" i="1"/>
  <c r="D31" i="1"/>
  <c r="E29" i="1"/>
  <c r="F29" i="1"/>
  <c r="G29" i="1"/>
  <c r="H29" i="1"/>
  <c r="E28" i="1"/>
  <c r="F28" i="1"/>
  <c r="G28" i="1"/>
  <c r="H28" i="1"/>
  <c r="E26" i="1"/>
  <c r="F26" i="1"/>
  <c r="F27" i="1" s="1"/>
  <c r="G26" i="1"/>
  <c r="H26" i="1"/>
  <c r="D29" i="1"/>
  <c r="D28" i="1"/>
  <c r="D26" i="1"/>
  <c r="E24" i="1"/>
  <c r="F24" i="1"/>
  <c r="G24" i="1"/>
  <c r="H24" i="1"/>
  <c r="E22" i="1"/>
  <c r="F22" i="1"/>
  <c r="G22" i="1"/>
  <c r="H22" i="1"/>
  <c r="I22" i="1"/>
  <c r="J22" i="1"/>
  <c r="K22" i="1"/>
  <c r="L22" i="1"/>
  <c r="M22" i="1"/>
  <c r="D22" i="1"/>
  <c r="E23" i="1"/>
  <c r="F23" i="1"/>
  <c r="G23" i="1"/>
  <c r="H23" i="1"/>
  <c r="D23" i="1"/>
  <c r="E21" i="1"/>
  <c r="F21" i="1"/>
  <c r="G21" i="1"/>
  <c r="H21" i="1"/>
  <c r="D21" i="1"/>
  <c r="E20" i="1"/>
  <c r="F20" i="1"/>
  <c r="G20" i="1"/>
  <c r="H20" i="1"/>
  <c r="I20" i="1"/>
  <c r="I20" i="3" s="1"/>
  <c r="J20" i="1"/>
  <c r="K20" i="1"/>
  <c r="L20" i="1"/>
  <c r="M20" i="1"/>
  <c r="D20" i="1"/>
  <c r="E19" i="1"/>
  <c r="F19" i="1"/>
  <c r="G19" i="1"/>
  <c r="H19" i="1"/>
  <c r="D19" i="1"/>
  <c r="D24" i="1"/>
  <c r="E18" i="1"/>
  <c r="F18" i="1"/>
  <c r="G18" i="1"/>
  <c r="H18" i="1"/>
  <c r="E17" i="1"/>
  <c r="F17" i="1"/>
  <c r="G17" i="1"/>
  <c r="H17" i="1"/>
  <c r="E16" i="1"/>
  <c r="F16" i="1"/>
  <c r="G16" i="1"/>
  <c r="H16" i="1"/>
  <c r="E15" i="1"/>
  <c r="F15" i="1"/>
  <c r="G15" i="1"/>
  <c r="H15" i="1"/>
  <c r="E14" i="1"/>
  <c r="F14" i="1"/>
  <c r="G14" i="1"/>
  <c r="H14" i="1"/>
  <c r="E13" i="1"/>
  <c r="F13" i="1"/>
  <c r="G13" i="1"/>
  <c r="H13" i="1"/>
  <c r="E12" i="1"/>
  <c r="F12" i="1"/>
  <c r="G12" i="1"/>
  <c r="H12" i="1"/>
  <c r="D18" i="1"/>
  <c r="D17" i="1"/>
  <c r="D16" i="1"/>
  <c r="D15" i="1"/>
  <c r="D14" i="1"/>
  <c r="D13" i="1"/>
  <c r="D12" i="1"/>
  <c r="E11" i="1"/>
  <c r="F11" i="1"/>
  <c r="G11" i="1"/>
  <c r="H11" i="1"/>
  <c r="D11" i="1"/>
  <c r="E8" i="1"/>
  <c r="F8" i="1"/>
  <c r="G8" i="1"/>
  <c r="H8" i="1"/>
  <c r="D8" i="1"/>
  <c r="E7" i="1"/>
  <c r="F7" i="1"/>
  <c r="G7" i="1"/>
  <c r="H7" i="1"/>
  <c r="D7" i="1"/>
  <c r="B59" i="42"/>
  <c r="C59" i="42"/>
  <c r="D59" i="42"/>
  <c r="E59" i="42"/>
  <c r="F59" i="42"/>
  <c r="G59" i="42"/>
  <c r="H59" i="42"/>
  <c r="I59" i="42"/>
  <c r="J59" i="42"/>
  <c r="K59" i="42"/>
  <c r="L59" i="42"/>
  <c r="B58" i="42"/>
  <c r="C58" i="42"/>
  <c r="D58" i="42"/>
  <c r="E58" i="42"/>
  <c r="F58" i="42"/>
  <c r="G58" i="42"/>
  <c r="H58" i="42"/>
  <c r="I58" i="42"/>
  <c r="J58" i="42"/>
  <c r="K58" i="42"/>
  <c r="L58" i="42"/>
  <c r="B57" i="42"/>
  <c r="C57" i="42"/>
  <c r="D57" i="42"/>
  <c r="E57" i="42"/>
  <c r="F57" i="42"/>
  <c r="G57" i="42"/>
  <c r="H57" i="42"/>
  <c r="I57" i="42"/>
  <c r="J57" i="42"/>
  <c r="K57" i="42"/>
  <c r="L57" i="42"/>
  <c r="B56" i="42"/>
  <c r="B55" i="42"/>
  <c r="C55" i="42"/>
  <c r="D55" i="42"/>
  <c r="E55" i="42"/>
  <c r="F55" i="42"/>
  <c r="G55" i="42"/>
  <c r="H55" i="42"/>
  <c r="I55" i="42"/>
  <c r="J55" i="42"/>
  <c r="K55" i="42"/>
  <c r="L55" i="42"/>
  <c r="B54" i="42"/>
  <c r="C54" i="42"/>
  <c r="D54" i="42"/>
  <c r="D56" i="42" s="1"/>
  <c r="E54" i="42"/>
  <c r="E56" i="42" s="1"/>
  <c r="F54" i="42"/>
  <c r="F56" i="42" s="1"/>
  <c r="G54" i="42"/>
  <c r="H54" i="42"/>
  <c r="H56" i="42" s="1"/>
  <c r="I54" i="42"/>
  <c r="I56" i="42" s="1"/>
  <c r="J54" i="42"/>
  <c r="J56" i="42" s="1"/>
  <c r="K54" i="42"/>
  <c r="L54" i="42"/>
  <c r="L56" i="42" s="1"/>
  <c r="B53" i="42"/>
  <c r="C53" i="42"/>
  <c r="D53" i="42"/>
  <c r="E53" i="42"/>
  <c r="F53" i="42"/>
  <c r="G53" i="42"/>
  <c r="H53" i="42"/>
  <c r="I53" i="42"/>
  <c r="J53" i="42"/>
  <c r="K53" i="42"/>
  <c r="L53" i="42"/>
  <c r="B52" i="42"/>
  <c r="D52" i="42"/>
  <c r="E52" i="42"/>
  <c r="F52" i="42"/>
  <c r="G52" i="42"/>
  <c r="H52" i="42"/>
  <c r="I52" i="42"/>
  <c r="J52" i="42"/>
  <c r="K52" i="42"/>
  <c r="L52" i="42"/>
  <c r="M24" i="32" l="1"/>
  <c r="L24" i="32"/>
  <c r="F52" i="3"/>
  <c r="F32" i="3"/>
  <c r="G52" i="3"/>
  <c r="G58" i="3" s="1"/>
  <c r="E47" i="1"/>
  <c r="F47" i="1"/>
  <c r="F46" i="1"/>
  <c r="G35" i="30"/>
  <c r="K56" i="42"/>
  <c r="G56" i="42"/>
  <c r="C56" i="42"/>
  <c r="F62" i="3"/>
  <c r="E52" i="3"/>
  <c r="E58" i="3" s="1"/>
  <c r="E32" i="3"/>
  <c r="H58" i="3"/>
  <c r="F58" i="3"/>
  <c r="F63" i="3" s="1"/>
  <c r="E62" i="3"/>
  <c r="F35" i="30"/>
  <c r="H35" i="30"/>
  <c r="J51" i="14"/>
  <c r="H62" i="3"/>
  <c r="G62" i="3"/>
  <c r="D58" i="1"/>
  <c r="E58" i="1"/>
  <c r="G32" i="1"/>
  <c r="H36" i="1"/>
  <c r="E46" i="1"/>
  <c r="H46" i="1"/>
  <c r="E27" i="1"/>
  <c r="G27" i="1"/>
  <c r="F58" i="1"/>
  <c r="H60" i="1"/>
  <c r="G58" i="1"/>
  <c r="E9" i="14"/>
  <c r="H27" i="1"/>
  <c r="H58" i="1"/>
  <c r="G9" i="1"/>
  <c r="G85" i="30"/>
  <c r="G82" i="30"/>
  <c r="G84" i="30"/>
  <c r="H9" i="14"/>
  <c r="H16" i="14"/>
  <c r="H10" i="14"/>
  <c r="F36" i="1"/>
  <c r="G60" i="1"/>
  <c r="G61" i="1"/>
  <c r="E16" i="14"/>
  <c r="E10" i="14"/>
  <c r="D47" i="1"/>
  <c r="F9" i="1"/>
  <c r="F85" i="30"/>
  <c r="F84" i="30"/>
  <c r="F82" i="30"/>
  <c r="G8" i="14"/>
  <c r="G9" i="14"/>
  <c r="G16" i="14"/>
  <c r="G10" i="14"/>
  <c r="G46" i="1"/>
  <c r="H47" i="1"/>
  <c r="F60" i="1"/>
  <c r="F61" i="1"/>
  <c r="H9" i="1"/>
  <c r="H82" i="30"/>
  <c r="H85" i="30"/>
  <c r="H84" i="30"/>
  <c r="H61" i="1"/>
  <c r="D84" i="30"/>
  <c r="D82" i="30"/>
  <c r="D85" i="30"/>
  <c r="E9" i="1"/>
  <c r="E84" i="30"/>
  <c r="E82" i="30"/>
  <c r="E85" i="30"/>
  <c r="F8" i="14"/>
  <c r="F9" i="14"/>
  <c r="F15" i="14"/>
  <c r="F16" i="14"/>
  <c r="F10" i="14"/>
  <c r="D46" i="1"/>
  <c r="E61" i="1"/>
  <c r="B71" i="41"/>
  <c r="N24" i="32" l="1"/>
  <c r="H63" i="3"/>
  <c r="H59" i="3"/>
  <c r="E63" i="3"/>
  <c r="G63" i="3"/>
  <c r="H54" i="41"/>
  <c r="I39" i="1" s="1"/>
  <c r="J39" i="32" s="1"/>
  <c r="I29" i="1"/>
  <c r="I28" i="1"/>
  <c r="I21" i="1"/>
  <c r="I19" i="1"/>
  <c r="I24" i="1"/>
  <c r="H36" i="40"/>
  <c r="H8" i="40"/>
  <c r="B76" i="41"/>
  <c r="C76" i="41"/>
  <c r="D76" i="41"/>
  <c r="E76" i="41"/>
  <c r="F76" i="41"/>
  <c r="G76" i="41"/>
  <c r="B74" i="41"/>
  <c r="C74" i="41"/>
  <c r="D74" i="41"/>
  <c r="E74" i="41"/>
  <c r="F74" i="41"/>
  <c r="G74" i="41"/>
  <c r="C73" i="41"/>
  <c r="D73" i="41"/>
  <c r="E73" i="41"/>
  <c r="F73" i="41"/>
  <c r="G73" i="41"/>
  <c r="C72" i="41"/>
  <c r="D72" i="41"/>
  <c r="E72" i="41"/>
  <c r="F72" i="41"/>
  <c r="G72" i="41"/>
  <c r="C71" i="41"/>
  <c r="D71" i="41"/>
  <c r="E71" i="41"/>
  <c r="F71" i="41"/>
  <c r="G71" i="41"/>
  <c r="B70" i="41"/>
  <c r="C70" i="41"/>
  <c r="D70" i="41"/>
  <c r="E70" i="41"/>
  <c r="F70" i="41"/>
  <c r="G70" i="41"/>
  <c r="B69" i="41"/>
  <c r="C69" i="41"/>
  <c r="D69" i="41"/>
  <c r="E69" i="41"/>
  <c r="F69" i="41"/>
  <c r="G69" i="41"/>
  <c r="B68" i="41"/>
  <c r="C68" i="41"/>
  <c r="D68" i="41"/>
  <c r="E68" i="41"/>
  <c r="F68" i="41"/>
  <c r="G68" i="41"/>
  <c r="I68" i="41" s="1"/>
  <c r="B67" i="41"/>
  <c r="C67" i="41"/>
  <c r="D67" i="41"/>
  <c r="E67" i="41"/>
  <c r="F67" i="41"/>
  <c r="G67" i="41"/>
  <c r="B66" i="41"/>
  <c r="C66" i="41"/>
  <c r="D66" i="41"/>
  <c r="E66" i="41"/>
  <c r="F66" i="41"/>
  <c r="G66" i="41"/>
  <c r="B65" i="41"/>
  <c r="C65" i="41"/>
  <c r="D65" i="41"/>
  <c r="E65" i="41"/>
  <c r="F65" i="41"/>
  <c r="G65" i="41"/>
  <c r="B4" i="40"/>
  <c r="C4" i="40"/>
  <c r="D4" i="40"/>
  <c r="E4" i="40"/>
  <c r="F4" i="40"/>
  <c r="G4" i="40"/>
  <c r="B10" i="40"/>
  <c r="B44" i="40" s="1"/>
  <c r="C2" i="40"/>
  <c r="C24" i="40" s="1"/>
  <c r="D2" i="40"/>
  <c r="D38" i="40" s="1"/>
  <c r="E2" i="40"/>
  <c r="E10" i="40" s="1"/>
  <c r="E44" i="40" s="1"/>
  <c r="F2" i="40"/>
  <c r="F10" i="40" s="1"/>
  <c r="F44" i="40" s="1"/>
  <c r="G46" i="40"/>
  <c r="C9" i="40"/>
  <c r="D9" i="40"/>
  <c r="E9" i="40"/>
  <c r="F9" i="40"/>
  <c r="G9" i="40"/>
  <c r="F16" i="40"/>
  <c r="G16" i="40"/>
  <c r="H16" i="40" s="1"/>
  <c r="I16" i="40" s="1"/>
  <c r="J16" i="40" s="1"/>
  <c r="K16" i="40" s="1"/>
  <c r="L16" i="40" s="1"/>
  <c r="C23" i="40"/>
  <c r="D23" i="40"/>
  <c r="C30" i="40"/>
  <c r="D30" i="40"/>
  <c r="C37" i="40"/>
  <c r="D37" i="40"/>
  <c r="E37" i="40"/>
  <c r="F37" i="40"/>
  <c r="G37" i="40"/>
  <c r="B41" i="40"/>
  <c r="C41" i="40"/>
  <c r="D41" i="40"/>
  <c r="E41" i="40"/>
  <c r="F41" i="40"/>
  <c r="G41" i="40"/>
  <c r="H41" i="40" s="1"/>
  <c r="I41" i="40" s="1"/>
  <c r="J41" i="40" s="1"/>
  <c r="K41" i="40" s="1"/>
  <c r="L41" i="40" s="1"/>
  <c r="B34" i="40"/>
  <c r="C34" i="40"/>
  <c r="D34" i="40"/>
  <c r="B27" i="40"/>
  <c r="C27" i="40"/>
  <c r="D27" i="40"/>
  <c r="E20" i="40"/>
  <c r="F20" i="40"/>
  <c r="G20" i="40"/>
  <c r="H20" i="40" s="1"/>
  <c r="F75" i="41" l="1"/>
  <c r="I28" i="41"/>
  <c r="J24" i="1" s="1"/>
  <c r="E75" i="41"/>
  <c r="H65" i="41"/>
  <c r="I65" i="41" s="1"/>
  <c r="J65" i="41" s="1"/>
  <c r="L65" i="41" s="1"/>
  <c r="D75" i="41"/>
  <c r="G75" i="41"/>
  <c r="C75" i="41"/>
  <c r="I42" i="41"/>
  <c r="I54" i="41"/>
  <c r="J28" i="41"/>
  <c r="I41" i="41"/>
  <c r="H58" i="41"/>
  <c r="I51" i="1" s="1"/>
  <c r="I47" i="1" s="1"/>
  <c r="B24" i="40"/>
  <c r="H15" i="40"/>
  <c r="H2" i="40" s="1"/>
  <c r="F5" i="40"/>
  <c r="D10" i="40"/>
  <c r="D44" i="40" s="1"/>
  <c r="F3" i="40"/>
  <c r="G5" i="40"/>
  <c r="C5" i="40"/>
  <c r="F46" i="40"/>
  <c r="G17" i="40"/>
  <c r="G45" i="40" s="1"/>
  <c r="C45" i="40"/>
  <c r="G47" i="40"/>
  <c r="C31" i="40"/>
  <c r="G38" i="40"/>
  <c r="G48" i="40" s="1"/>
  <c r="C38" i="40"/>
  <c r="E3" i="40"/>
  <c r="E5" i="40"/>
  <c r="G10" i="40"/>
  <c r="G44" i="40" s="1"/>
  <c r="C10" i="40"/>
  <c r="C44" i="40" s="1"/>
  <c r="F17" i="40"/>
  <c r="F45" i="40" s="1"/>
  <c r="B45" i="40"/>
  <c r="E46" i="40"/>
  <c r="F47" i="40"/>
  <c r="B31" i="40"/>
  <c r="F38" i="40"/>
  <c r="F48" i="40" s="1"/>
  <c r="B38" i="40"/>
  <c r="E17" i="40"/>
  <c r="E45" i="40" s="1"/>
  <c r="D24" i="40"/>
  <c r="E47" i="40"/>
  <c r="E38" i="40"/>
  <c r="E48" i="40" s="1"/>
  <c r="D3" i="40"/>
  <c r="G3" i="40"/>
  <c r="C3" i="40"/>
  <c r="D45" i="40"/>
  <c r="D31" i="40"/>
  <c r="D5" i="40"/>
  <c r="I36" i="40"/>
  <c r="J28" i="1" l="1"/>
  <c r="J41" i="41"/>
  <c r="K28" i="41"/>
  <c r="K24" i="1"/>
  <c r="J21" i="1"/>
  <c r="J54" i="41"/>
  <c r="J39" i="1"/>
  <c r="K39" i="32" s="1"/>
  <c r="I58" i="41"/>
  <c r="J51" i="1" s="1"/>
  <c r="J29" i="1"/>
  <c r="J42" i="41"/>
  <c r="H5" i="41"/>
  <c r="H3" i="40"/>
  <c r="H19" i="40"/>
  <c r="H18" i="40" s="1"/>
  <c r="J19" i="1"/>
  <c r="F50" i="40"/>
  <c r="E50" i="40"/>
  <c r="G50" i="40"/>
  <c r="I20" i="40"/>
  <c r="J20" i="40" s="1"/>
  <c r="K20" i="40" s="1"/>
  <c r="L20" i="40" s="1"/>
  <c r="J36" i="40"/>
  <c r="I40" i="40"/>
  <c r="I39" i="40" s="1"/>
  <c r="H40" i="40"/>
  <c r="H39" i="40" s="1"/>
  <c r="K29" i="1" l="1"/>
  <c r="K42" i="41"/>
  <c r="K54" i="41"/>
  <c r="K39" i="1"/>
  <c r="L39" i="32" s="1"/>
  <c r="J58" i="41"/>
  <c r="K51" i="1" s="1"/>
  <c r="L28" i="41"/>
  <c r="M24" i="1" s="1"/>
  <c r="L24" i="1"/>
  <c r="K21" i="1"/>
  <c r="K41" i="41"/>
  <c r="K28" i="1"/>
  <c r="J47" i="1"/>
  <c r="I7" i="1"/>
  <c r="K19" i="1"/>
  <c r="I15" i="40"/>
  <c r="J15" i="40" s="1"/>
  <c r="J19" i="40" s="1"/>
  <c r="J40" i="40"/>
  <c r="J39" i="40" s="1"/>
  <c r="K36" i="40"/>
  <c r="I8" i="40"/>
  <c r="H12" i="40"/>
  <c r="H11" i="40" s="1"/>
  <c r="H4" i="40" s="1"/>
  <c r="L54" i="41" l="1"/>
  <c r="L39" i="1"/>
  <c r="M39" i="32" s="1"/>
  <c r="K58" i="41"/>
  <c r="L51" i="1" s="1"/>
  <c r="L41" i="41"/>
  <c r="M28" i="1" s="1"/>
  <c r="L28" i="1"/>
  <c r="L42" i="41"/>
  <c r="M29" i="1" s="1"/>
  <c r="L29" i="1"/>
  <c r="M21" i="1"/>
  <c r="L21" i="1"/>
  <c r="K47" i="1"/>
  <c r="H5" i="40"/>
  <c r="I9" i="1"/>
  <c r="I60" i="1"/>
  <c r="I2" i="40"/>
  <c r="I5" i="41" s="1"/>
  <c r="M19" i="1"/>
  <c r="L19" i="1"/>
  <c r="I19" i="40"/>
  <c r="I18" i="40" s="1"/>
  <c r="H10" i="40"/>
  <c r="K15" i="40"/>
  <c r="K19" i="40" s="1"/>
  <c r="J18" i="40"/>
  <c r="L36" i="40"/>
  <c r="K40" i="40"/>
  <c r="K39" i="40" s="1"/>
  <c r="J8" i="40"/>
  <c r="I12" i="40"/>
  <c r="I11" i="40" s="1"/>
  <c r="H38" i="40"/>
  <c r="H17" i="40"/>
  <c r="L47" i="1" l="1"/>
  <c r="I10" i="40"/>
  <c r="M39" i="1"/>
  <c r="N39" i="32" s="1"/>
  <c r="L58" i="41"/>
  <c r="M51" i="1" s="1"/>
  <c r="J2" i="40"/>
  <c r="J10" i="40" s="1"/>
  <c r="I3" i="40"/>
  <c r="J19" i="3"/>
  <c r="K20" i="32"/>
  <c r="I14" i="3"/>
  <c r="I30" i="3"/>
  <c r="I4" i="40"/>
  <c r="I12" i="41" s="1"/>
  <c r="J7" i="1"/>
  <c r="I6" i="41"/>
  <c r="L40" i="40"/>
  <c r="L39" i="40" s="1"/>
  <c r="I38" i="40"/>
  <c r="I17" i="40"/>
  <c r="L15" i="40"/>
  <c r="L19" i="40" s="1"/>
  <c r="K18" i="40"/>
  <c r="J12" i="40"/>
  <c r="J11" i="40" s="1"/>
  <c r="K8" i="40"/>
  <c r="M47" i="1" l="1"/>
  <c r="J5" i="41"/>
  <c r="K7" i="1" s="1"/>
  <c r="J3" i="40"/>
  <c r="J4" i="40"/>
  <c r="J12" i="41" s="1"/>
  <c r="K12" i="1" s="1"/>
  <c r="J12" i="1"/>
  <c r="I74" i="41"/>
  <c r="I75" i="41" s="1"/>
  <c r="I5" i="40"/>
  <c r="K2" i="40"/>
  <c r="K3" i="40" s="1"/>
  <c r="J9" i="1"/>
  <c r="K67" i="32"/>
  <c r="J60" i="1"/>
  <c r="J8" i="1"/>
  <c r="L8" i="40"/>
  <c r="K12" i="40"/>
  <c r="K11" i="40" s="1"/>
  <c r="L18" i="40"/>
  <c r="J38" i="40"/>
  <c r="J17" i="40"/>
  <c r="J6" i="41" l="1"/>
  <c r="K8" i="1" s="1"/>
  <c r="J5" i="40"/>
  <c r="J74" i="41"/>
  <c r="J75" i="41" s="1"/>
  <c r="K5" i="41"/>
  <c r="L7" i="1" s="1"/>
  <c r="K10" i="40"/>
  <c r="L2" i="40"/>
  <c r="K4" i="40"/>
  <c r="K5" i="40" s="1"/>
  <c r="J72" i="41"/>
  <c r="K19" i="3"/>
  <c r="J30" i="3"/>
  <c r="J14" i="3"/>
  <c r="K9" i="1"/>
  <c r="L67" i="32"/>
  <c r="K60" i="1"/>
  <c r="K38" i="40"/>
  <c r="K17" i="40"/>
  <c r="L12" i="40"/>
  <c r="L11" i="40" s="1"/>
  <c r="L5" i="41" l="1"/>
  <c r="L6" i="41" s="1"/>
  <c r="K6" i="41"/>
  <c r="L8" i="1" s="1"/>
  <c r="L3" i="40"/>
  <c r="K12" i="41"/>
  <c r="L12" i="1" s="1"/>
  <c r="L4" i="40"/>
  <c r="L12" i="41" s="1"/>
  <c r="M12" i="1" s="1"/>
  <c r="K14" i="3"/>
  <c r="L20" i="32"/>
  <c r="K30" i="3"/>
  <c r="L19" i="3"/>
  <c r="L27" i="32"/>
  <c r="K27" i="32"/>
  <c r="L9" i="1"/>
  <c r="M67" i="32"/>
  <c r="L60" i="1"/>
  <c r="L10" i="40"/>
  <c r="L38" i="40"/>
  <c r="L17" i="40"/>
  <c r="M7" i="1" l="1"/>
  <c r="K72" i="41"/>
  <c r="K74" i="41"/>
  <c r="K75" i="41" s="1"/>
  <c r="L5" i="40"/>
  <c r="L74" i="41"/>
  <c r="L75" i="41" s="1"/>
  <c r="M19" i="3"/>
  <c r="L14" i="3"/>
  <c r="M8" i="1"/>
  <c r="L72" i="41"/>
  <c r="L30" i="3"/>
  <c r="N20" i="32"/>
  <c r="M20" i="32"/>
  <c r="M9" i="1"/>
  <c r="N67" i="32"/>
  <c r="M60" i="1" l="1"/>
  <c r="M30" i="3"/>
  <c r="M14" i="3"/>
  <c r="N27" i="32"/>
  <c r="M27" i="32"/>
  <c r="P24" i="32"/>
  <c r="Q24" i="32"/>
  <c r="R24" i="32"/>
  <c r="K22" i="23"/>
  <c r="J22" i="23"/>
  <c r="I22" i="23"/>
  <c r="H22" i="23"/>
  <c r="G22" i="23"/>
  <c r="F22" i="23"/>
  <c r="D22" i="23"/>
  <c r="K21" i="23"/>
  <c r="J21" i="23"/>
  <c r="I21" i="23"/>
  <c r="H21" i="23"/>
  <c r="G21" i="23"/>
  <c r="F21" i="23"/>
  <c r="K20" i="23"/>
  <c r="J20" i="23"/>
  <c r="I20" i="23"/>
  <c r="H20" i="23"/>
  <c r="G20" i="23"/>
  <c r="F20" i="23"/>
  <c r="K19" i="23"/>
  <c r="J19" i="23"/>
  <c r="I19" i="23"/>
  <c r="H19" i="23"/>
  <c r="G19" i="23"/>
  <c r="F19" i="23"/>
  <c r="K18" i="23"/>
  <c r="J18" i="23"/>
  <c r="I18" i="23"/>
  <c r="H18" i="23"/>
  <c r="G18" i="23"/>
  <c r="F18" i="23"/>
  <c r="K17" i="23"/>
  <c r="J17" i="23"/>
  <c r="I17" i="23"/>
  <c r="H17" i="23"/>
  <c r="G17" i="23"/>
  <c r="D14" i="23"/>
  <c r="D13" i="23"/>
  <c r="D12" i="23"/>
  <c r="D11" i="23"/>
  <c r="D8" i="23"/>
  <c r="D9" i="23"/>
  <c r="G26" i="16"/>
  <c r="D9" i="16"/>
  <c r="R79" i="32"/>
  <c r="Q79" i="32"/>
  <c r="P79" i="32"/>
  <c r="O79" i="32"/>
  <c r="J71" i="32"/>
  <c r="J57" i="32"/>
  <c r="J51" i="32"/>
  <c r="J76" i="32" s="1"/>
  <c r="J27" i="32"/>
  <c r="D59" i="1"/>
  <c r="Q51" i="3"/>
  <c r="P51" i="3"/>
  <c r="O51" i="3"/>
  <c r="Q44" i="3"/>
  <c r="P44" i="3"/>
  <c r="O44" i="3"/>
  <c r="O52" i="3" s="1"/>
  <c r="O63" i="3" s="1"/>
  <c r="D44" i="3"/>
  <c r="Q31" i="3"/>
  <c r="P31" i="3"/>
  <c r="O31" i="3"/>
  <c r="D31" i="3"/>
  <c r="D32" i="3" s="1"/>
  <c r="I27" i="3"/>
  <c r="J27" i="3" s="1"/>
  <c r="K27" i="3" s="1"/>
  <c r="L27" i="3" s="1"/>
  <c r="M27" i="3" s="1"/>
  <c r="M26" i="3"/>
  <c r="L26" i="3"/>
  <c r="K26" i="3"/>
  <c r="J26" i="3"/>
  <c r="I26" i="3"/>
  <c r="M24" i="3"/>
  <c r="L24" i="3"/>
  <c r="K24" i="3"/>
  <c r="J24" i="3"/>
  <c r="I24" i="3"/>
  <c r="M21" i="3"/>
  <c r="L21" i="3"/>
  <c r="K21" i="3"/>
  <c r="J21" i="3"/>
  <c r="I21" i="3"/>
  <c r="Q17" i="3"/>
  <c r="P17" i="3"/>
  <c r="O17" i="3"/>
  <c r="M56" i="1"/>
  <c r="L56" i="1"/>
  <c r="K56" i="1"/>
  <c r="J56" i="1"/>
  <c r="H43" i="1"/>
  <c r="G43" i="1"/>
  <c r="D8" i="16"/>
  <c r="D16" i="14"/>
  <c r="N8" i="1"/>
  <c r="D9" i="14"/>
  <c r="I9" i="14" s="1"/>
  <c r="J9" i="14" s="1"/>
  <c r="K9" i="14" s="1"/>
  <c r="L9" i="14" s="1"/>
  <c r="M9" i="14" s="1"/>
  <c r="N9" i="14" s="1"/>
  <c r="N7" i="1"/>
  <c r="E60" i="1"/>
  <c r="H95" i="30"/>
  <c r="H96" i="30" s="1"/>
  <c r="D15" i="16"/>
  <c r="D94" i="30"/>
  <c r="D96" i="30" s="1"/>
  <c r="D92" i="30"/>
  <c r="I69" i="30"/>
  <c r="I56" i="30"/>
  <c r="L57" i="30"/>
  <c r="K57" i="30"/>
  <c r="E37" i="14"/>
  <c r="D37" i="14"/>
  <c r="H25" i="14"/>
  <c r="G25" i="14"/>
  <c r="G33" i="14" s="1"/>
  <c r="F25" i="14"/>
  <c r="F33" i="14" s="1"/>
  <c r="E25" i="14"/>
  <c r="E33" i="14" s="1"/>
  <c r="D25" i="14"/>
  <c r="D33" i="14" s="1"/>
  <c r="I23" i="1"/>
  <c r="D48" i="40"/>
  <c r="C48" i="40"/>
  <c r="D47" i="40"/>
  <c r="B46" i="40"/>
  <c r="B48" i="40"/>
  <c r="C47" i="40"/>
  <c r="B47" i="40"/>
  <c r="D46" i="40"/>
  <c r="C46" i="40"/>
  <c r="F44" i="16" l="1"/>
  <c r="D62" i="3"/>
  <c r="D52" i="3"/>
  <c r="J25" i="14"/>
  <c r="H33" i="14"/>
  <c r="G37" i="16"/>
  <c r="H35" i="16"/>
  <c r="F35" i="16"/>
  <c r="I35" i="16"/>
  <c r="G35" i="16"/>
  <c r="E37" i="16"/>
  <c r="F37" i="16"/>
  <c r="H37" i="16"/>
  <c r="D10" i="23"/>
  <c r="Q62" i="3"/>
  <c r="E40" i="14"/>
  <c r="F40" i="14"/>
  <c r="D16" i="16"/>
  <c r="H40" i="14"/>
  <c r="D40" i="14"/>
  <c r="O32" i="3"/>
  <c r="O59" i="3" s="1"/>
  <c r="O67" i="3" s="1"/>
  <c r="P62" i="3"/>
  <c r="P32" i="3"/>
  <c r="P59" i="3" s="1"/>
  <c r="D57" i="30"/>
  <c r="D60" i="30" s="1"/>
  <c r="F59" i="3"/>
  <c r="P52" i="3"/>
  <c r="P63" i="3" s="1"/>
  <c r="Q32" i="3"/>
  <c r="Q59" i="3" s="1"/>
  <c r="Q52" i="3"/>
  <c r="Q63" i="3" s="1"/>
  <c r="E36" i="1"/>
  <c r="J23" i="1"/>
  <c r="H42" i="1"/>
  <c r="H38" i="14" s="1"/>
  <c r="I16" i="14"/>
  <c r="J16" i="14" s="1"/>
  <c r="K16" i="14" s="1"/>
  <c r="L16" i="14" s="1"/>
  <c r="M16" i="14" s="1"/>
  <c r="N16" i="14" s="1"/>
  <c r="D43" i="1"/>
  <c r="D42" i="1"/>
  <c r="D38" i="14" s="1"/>
  <c r="H70" i="30"/>
  <c r="B50" i="40"/>
  <c r="E42" i="1"/>
  <c r="E38" i="14" s="1"/>
  <c r="E43" i="1"/>
  <c r="J18" i="32"/>
  <c r="J20" i="3"/>
  <c r="K18" i="32" s="1"/>
  <c r="D10" i="14"/>
  <c r="E32" i="1"/>
  <c r="D7" i="16"/>
  <c r="D10" i="16" s="1"/>
  <c r="D12" i="16" s="1"/>
  <c r="G40" i="14"/>
  <c r="I71" i="41"/>
  <c r="J71" i="41" s="1"/>
  <c r="K71" i="41" s="1"/>
  <c r="L71" i="41" s="1"/>
  <c r="D14" i="16"/>
  <c r="F42" i="1"/>
  <c r="F38" i="14" s="1"/>
  <c r="F43" i="1"/>
  <c r="E59" i="3"/>
  <c r="I56" i="3"/>
  <c r="G42" i="1"/>
  <c r="G38" i="14" s="1"/>
  <c r="O62" i="3"/>
  <c r="J62" i="32"/>
  <c r="J33" i="14" l="1"/>
  <c r="J34" i="14" s="1"/>
  <c r="K25" i="14"/>
  <c r="I54" i="3"/>
  <c r="H73" i="30"/>
  <c r="J73" i="30" s="1"/>
  <c r="K73" i="30" s="1"/>
  <c r="L73" i="30" s="1"/>
  <c r="M73" i="30" s="1"/>
  <c r="H11" i="30"/>
  <c r="K23" i="1"/>
  <c r="J37" i="3"/>
  <c r="D19" i="23"/>
  <c r="J56" i="3"/>
  <c r="K56" i="3" s="1"/>
  <c r="L56" i="3" s="1"/>
  <c r="M56" i="3" s="1"/>
  <c r="Q67" i="3"/>
  <c r="J35" i="30"/>
  <c r="K35" i="30" s="1"/>
  <c r="L35" i="30" s="1"/>
  <c r="M35" i="30" s="1"/>
  <c r="P67" i="3"/>
  <c r="D10" i="30"/>
  <c r="I60" i="30"/>
  <c r="J60" i="30" s="1"/>
  <c r="K60" i="30" s="1"/>
  <c r="L60" i="30" s="1"/>
  <c r="M60" i="30" s="1"/>
  <c r="I10" i="14"/>
  <c r="K10" i="14" s="1"/>
  <c r="L10" i="14" s="1"/>
  <c r="M10" i="14" s="1"/>
  <c r="N10" i="14" s="1"/>
  <c r="I38" i="14"/>
  <c r="D7" i="23"/>
  <c r="D37" i="16"/>
  <c r="D58" i="3"/>
  <c r="D59" i="3" s="1"/>
  <c r="G59" i="3"/>
  <c r="D13" i="16"/>
  <c r="L23" i="1"/>
  <c r="K20" i="3"/>
  <c r="L18" i="32" s="1"/>
  <c r="K33" i="14" l="1"/>
  <c r="K34" i="14" s="1"/>
  <c r="L25" i="14"/>
  <c r="J54" i="3"/>
  <c r="I11" i="30"/>
  <c r="J11" i="30" s="1"/>
  <c r="K11" i="30" s="1"/>
  <c r="H13" i="30"/>
  <c r="D13" i="30"/>
  <c r="I42" i="1"/>
  <c r="J15" i="3"/>
  <c r="K37" i="3"/>
  <c r="H46" i="40"/>
  <c r="H45" i="40"/>
  <c r="I44" i="40"/>
  <c r="L20" i="3"/>
  <c r="M18" i="32" s="1"/>
  <c r="M23" i="1"/>
  <c r="H48" i="40"/>
  <c r="H47" i="40"/>
  <c r="C50" i="40"/>
  <c r="H44" i="40"/>
  <c r="D63" i="3"/>
  <c r="I46" i="40"/>
  <c r="M25" i="14" l="1"/>
  <c r="L33" i="14"/>
  <c r="L34" i="14" s="1"/>
  <c r="K54" i="3"/>
  <c r="I57" i="30"/>
  <c r="J30" i="32"/>
  <c r="J36" i="32" s="1"/>
  <c r="L11" i="30"/>
  <c r="L30" i="32"/>
  <c r="L36" i="32" s="1"/>
  <c r="K13" i="30"/>
  <c r="M37" i="3"/>
  <c r="L37" i="3"/>
  <c r="J42" i="1"/>
  <c r="K15" i="3"/>
  <c r="L21" i="32" s="1"/>
  <c r="I48" i="40"/>
  <c r="D50" i="40"/>
  <c r="I47" i="40"/>
  <c r="M20" i="3"/>
  <c r="N18" i="32" s="1"/>
  <c r="J44" i="40"/>
  <c r="H17" i="41"/>
  <c r="I17" i="1" s="1"/>
  <c r="H13" i="41"/>
  <c r="I13" i="1" s="1"/>
  <c r="H6" i="41"/>
  <c r="H16" i="41"/>
  <c r="I16" i="1" s="1"/>
  <c r="H15" i="41"/>
  <c r="I15" i="1" s="1"/>
  <c r="H14" i="41"/>
  <c r="I14" i="1" s="1"/>
  <c r="I18" i="1"/>
  <c r="H12" i="41"/>
  <c r="I45" i="40"/>
  <c r="N25" i="14" l="1"/>
  <c r="M33" i="14"/>
  <c r="M34" i="14" s="1"/>
  <c r="L54" i="3"/>
  <c r="I59" i="30"/>
  <c r="I94" i="30" s="1"/>
  <c r="J12" i="32" s="1"/>
  <c r="M30" i="32"/>
  <c r="M36" i="32" s="1"/>
  <c r="L13" i="30"/>
  <c r="M11" i="30"/>
  <c r="J57" i="30"/>
  <c r="J13" i="30"/>
  <c r="K30" i="32"/>
  <c r="K36" i="32" s="1"/>
  <c r="K42" i="1"/>
  <c r="M15" i="3"/>
  <c r="L15" i="3"/>
  <c r="M21" i="32" s="1"/>
  <c r="I12" i="1"/>
  <c r="H74" i="41"/>
  <c r="H75" i="41" s="1"/>
  <c r="I8" i="1"/>
  <c r="H72" i="41"/>
  <c r="I72" i="41"/>
  <c r="H11" i="41"/>
  <c r="J67" i="32"/>
  <c r="J27" i="14"/>
  <c r="K44" i="40"/>
  <c r="J18" i="1"/>
  <c r="I16" i="41"/>
  <c r="J16" i="1" s="1"/>
  <c r="I15" i="41"/>
  <c r="J15" i="1" s="1"/>
  <c r="I14" i="41"/>
  <c r="J14" i="1" s="1"/>
  <c r="I13" i="41"/>
  <c r="J13" i="1" s="1"/>
  <c r="I17" i="41"/>
  <c r="J17" i="1" s="1"/>
  <c r="J45" i="40"/>
  <c r="J48" i="40"/>
  <c r="J47" i="40"/>
  <c r="H50" i="40"/>
  <c r="J46" i="40"/>
  <c r="I39" i="3" l="1"/>
  <c r="I47" i="3"/>
  <c r="J47" i="3" s="1"/>
  <c r="N33" i="14"/>
  <c r="N34" i="14" s="1"/>
  <c r="M54" i="3"/>
  <c r="I62" i="30"/>
  <c r="M57" i="30"/>
  <c r="M13" i="30"/>
  <c r="N30" i="32"/>
  <c r="N36" i="32" s="1"/>
  <c r="N21" i="32"/>
  <c r="M42" i="1"/>
  <c r="L42" i="1"/>
  <c r="H40" i="41"/>
  <c r="I11" i="1"/>
  <c r="I11" i="41"/>
  <c r="J11" i="1" s="1"/>
  <c r="K27" i="14"/>
  <c r="K48" i="40"/>
  <c r="I50" i="40"/>
  <c r="K47" i="40"/>
  <c r="J15" i="41"/>
  <c r="K15" i="1" s="1"/>
  <c r="J14" i="41"/>
  <c r="K14" i="1" s="1"/>
  <c r="J13" i="41"/>
  <c r="K13" i="1" s="1"/>
  <c r="J17" i="41"/>
  <c r="K17" i="1" s="1"/>
  <c r="J16" i="41"/>
  <c r="K16" i="1" s="1"/>
  <c r="K18" i="1"/>
  <c r="L44" i="40"/>
  <c r="K46" i="40"/>
  <c r="K45" i="40"/>
  <c r="I41" i="3"/>
  <c r="J41" i="3" s="1"/>
  <c r="I37" i="3"/>
  <c r="J39" i="3"/>
  <c r="I15" i="3"/>
  <c r="K21" i="32" s="1"/>
  <c r="K47" i="3" l="1"/>
  <c r="I25" i="3"/>
  <c r="I84" i="30" s="1"/>
  <c r="J56" i="30"/>
  <c r="H46" i="41"/>
  <c r="I31" i="1" s="1"/>
  <c r="I32" i="1" s="1"/>
  <c r="I26" i="1"/>
  <c r="I27" i="1" s="1"/>
  <c r="K39" i="3"/>
  <c r="I40" i="41"/>
  <c r="K41" i="3"/>
  <c r="J11" i="41"/>
  <c r="L45" i="40"/>
  <c r="L46" i="40"/>
  <c r="K50" i="40"/>
  <c r="J21" i="32"/>
  <c r="K14" i="41"/>
  <c r="L14" i="1" s="1"/>
  <c r="L47" i="3" s="1"/>
  <c r="K17" i="41"/>
  <c r="L17" i="1" s="1"/>
  <c r="K16" i="41"/>
  <c r="L16" i="1" s="1"/>
  <c r="K15" i="41"/>
  <c r="L15" i="1" s="1"/>
  <c r="L18" i="1"/>
  <c r="K13" i="41"/>
  <c r="L13" i="1" s="1"/>
  <c r="I70" i="30"/>
  <c r="L48" i="40"/>
  <c r="J50" i="40"/>
  <c r="L47" i="40"/>
  <c r="L27" i="14"/>
  <c r="J59" i="30" l="1"/>
  <c r="J94" i="30" s="1"/>
  <c r="K12" i="32" s="1"/>
  <c r="L41" i="3"/>
  <c r="J40" i="41"/>
  <c r="K11" i="1"/>
  <c r="I46" i="41"/>
  <c r="J31" i="1" s="1"/>
  <c r="J32" i="1" s="1"/>
  <c r="J26" i="1"/>
  <c r="J27" i="1" s="1"/>
  <c r="L39" i="3"/>
  <c r="K11" i="41"/>
  <c r="L50" i="40"/>
  <c r="I72" i="30"/>
  <c r="I95" i="30" s="1"/>
  <c r="H47" i="41"/>
  <c r="I33" i="1" s="1"/>
  <c r="E8" i="16" s="1"/>
  <c r="L17" i="41"/>
  <c r="M17" i="1" s="1"/>
  <c r="L13" i="41"/>
  <c r="M13" i="1" s="1"/>
  <c r="M18" i="1"/>
  <c r="L16" i="41"/>
  <c r="M16" i="1" s="1"/>
  <c r="L14" i="41"/>
  <c r="M14" i="1" s="1"/>
  <c r="M47" i="3" s="1"/>
  <c r="L15" i="41"/>
  <c r="M15" i="1" s="1"/>
  <c r="J70" i="30"/>
  <c r="M27" i="14"/>
  <c r="J62" i="30" l="1"/>
  <c r="K56" i="30"/>
  <c r="J25" i="3"/>
  <c r="J84" i="30" s="1"/>
  <c r="M39" i="3"/>
  <c r="J46" i="41"/>
  <c r="K31" i="1" s="1"/>
  <c r="K32" i="1" s="1"/>
  <c r="K26" i="1"/>
  <c r="K27" i="1" s="1"/>
  <c r="M41" i="3"/>
  <c r="K40" i="41"/>
  <c r="L11" i="1"/>
  <c r="L11" i="41"/>
  <c r="H51" i="41"/>
  <c r="I35" i="1" s="1"/>
  <c r="I29" i="3"/>
  <c r="I40" i="3"/>
  <c r="J23" i="32" s="1"/>
  <c r="I75" i="30"/>
  <c r="N27" i="14"/>
  <c r="I47" i="41"/>
  <c r="J33" i="1" s="1"/>
  <c r="F8" i="16" s="1"/>
  <c r="J13" i="32"/>
  <c r="E15" i="16"/>
  <c r="K70" i="30"/>
  <c r="G17" i="16"/>
  <c r="J29" i="3" l="1"/>
  <c r="I31" i="3"/>
  <c r="K59" i="30"/>
  <c r="K94" i="30" s="1"/>
  <c r="L12" i="32" s="1"/>
  <c r="J40" i="3"/>
  <c r="E7" i="16"/>
  <c r="I36" i="1"/>
  <c r="I58" i="1"/>
  <c r="L40" i="41"/>
  <c r="M11" i="1"/>
  <c r="K46" i="41"/>
  <c r="L31" i="1" s="1"/>
  <c r="L32" i="1" s="1"/>
  <c r="L26" i="1"/>
  <c r="L27" i="1" s="1"/>
  <c r="K29" i="3"/>
  <c r="K19" i="32"/>
  <c r="I51" i="41"/>
  <c r="J35" i="1" s="1"/>
  <c r="H57" i="41"/>
  <c r="H55" i="41"/>
  <c r="I40" i="1" s="1"/>
  <c r="H52" i="41"/>
  <c r="I37" i="1" s="1"/>
  <c r="L70" i="30"/>
  <c r="H17" i="16"/>
  <c r="J19" i="32"/>
  <c r="J47" i="41"/>
  <c r="K33" i="1" s="1"/>
  <c r="G8" i="16" s="1"/>
  <c r="I28" i="3"/>
  <c r="I85" i="30" s="1"/>
  <c r="J69" i="30"/>
  <c r="J8" i="32"/>
  <c r="K40" i="3" l="1"/>
  <c r="L23" i="32" s="1"/>
  <c r="K23" i="32"/>
  <c r="K62" i="30"/>
  <c r="K25" i="3"/>
  <c r="K84" i="30" s="1"/>
  <c r="L56" i="30"/>
  <c r="I61" i="1"/>
  <c r="H59" i="41"/>
  <c r="H61" i="41" s="1"/>
  <c r="I54" i="1" s="1"/>
  <c r="I49" i="1"/>
  <c r="F7" i="16"/>
  <c r="K8" i="32"/>
  <c r="J36" i="1"/>
  <c r="J58" i="1"/>
  <c r="L46" i="41"/>
  <c r="M31" i="1" s="1"/>
  <c r="M32" i="1" s="1"/>
  <c r="M26" i="1"/>
  <c r="M27" i="1" s="1"/>
  <c r="L29" i="3"/>
  <c r="L19" i="32"/>
  <c r="L40" i="3"/>
  <c r="M23" i="32" s="1"/>
  <c r="H73" i="41"/>
  <c r="H76" i="41"/>
  <c r="J51" i="41"/>
  <c r="K35" i="1" s="1"/>
  <c r="I57" i="41"/>
  <c r="I55" i="41"/>
  <c r="J40" i="1" s="1"/>
  <c r="O24" i="32"/>
  <c r="J72" i="30"/>
  <c r="J95" i="30" s="1"/>
  <c r="I17" i="16"/>
  <c r="M70" i="30"/>
  <c r="K47" i="41"/>
  <c r="L33" i="1" s="1"/>
  <c r="H8" i="16" s="1"/>
  <c r="I52" i="41"/>
  <c r="J37" i="1" s="1"/>
  <c r="L59" i="30" l="1"/>
  <c r="L94" i="30" s="1"/>
  <c r="M12" i="32" s="1"/>
  <c r="H62" i="41"/>
  <c r="I55" i="1" s="1"/>
  <c r="I50" i="1"/>
  <c r="I46" i="1" s="1"/>
  <c r="G7" i="16"/>
  <c r="L8" i="32"/>
  <c r="K58" i="1"/>
  <c r="K36" i="1"/>
  <c r="M40" i="3"/>
  <c r="N23" i="32" s="1"/>
  <c r="I59" i="41"/>
  <c r="J49" i="1"/>
  <c r="M29" i="3"/>
  <c r="N19" i="32" s="1"/>
  <c r="K37" i="14"/>
  <c r="K44" i="32" s="1"/>
  <c r="J61" i="1"/>
  <c r="M19" i="32"/>
  <c r="I73" i="41"/>
  <c r="I76" i="41"/>
  <c r="J57" i="41"/>
  <c r="J55" i="41"/>
  <c r="K40" i="1" s="1"/>
  <c r="K51" i="41"/>
  <c r="L35" i="1" s="1"/>
  <c r="J37" i="14"/>
  <c r="J44" i="32" s="1"/>
  <c r="J52" i="41"/>
  <c r="K37" i="1" s="1"/>
  <c r="J75" i="30"/>
  <c r="J28" i="3" s="1"/>
  <c r="J85" i="30" s="1"/>
  <c r="K13" i="32"/>
  <c r="F15" i="16"/>
  <c r="L47" i="41"/>
  <c r="M33" i="1" s="1"/>
  <c r="I8" i="16" s="1"/>
  <c r="L62" i="30" l="1"/>
  <c r="L25" i="3" s="1"/>
  <c r="L84" i="30" s="1"/>
  <c r="J59" i="41"/>
  <c r="K49" i="1"/>
  <c r="L37" i="14"/>
  <c r="L44" i="32" s="1"/>
  <c r="K61" i="1"/>
  <c r="I62" i="41"/>
  <c r="J55" i="1" s="1"/>
  <c r="J50" i="1"/>
  <c r="J46" i="1" s="1"/>
  <c r="H7" i="16"/>
  <c r="M8" i="32"/>
  <c r="L58" i="1"/>
  <c r="L36" i="1"/>
  <c r="J73" i="41"/>
  <c r="J76" i="41"/>
  <c r="K57" i="41"/>
  <c r="K55" i="41"/>
  <c r="L40" i="1" s="1"/>
  <c r="L51" i="41"/>
  <c r="M35" i="1" s="1"/>
  <c r="I41" i="1"/>
  <c r="I56" i="1" s="1"/>
  <c r="J61" i="41"/>
  <c r="K54" i="1" s="1"/>
  <c r="K69" i="30"/>
  <c r="K72" i="30" s="1"/>
  <c r="K95" i="30" s="1"/>
  <c r="I61" i="41"/>
  <c r="J54" i="1" s="1"/>
  <c r="K52" i="41"/>
  <c r="L37" i="1" s="1"/>
  <c r="M56" i="30" l="1"/>
  <c r="M59" i="30" s="1"/>
  <c r="M94" i="30" s="1"/>
  <c r="N12" i="32" s="1"/>
  <c r="M62" i="30"/>
  <c r="M25" i="3" s="1"/>
  <c r="M84" i="30" s="1"/>
  <c r="I7" i="16"/>
  <c r="N8" i="32"/>
  <c r="M58" i="1"/>
  <c r="M36" i="1"/>
  <c r="K59" i="41"/>
  <c r="L49" i="1"/>
  <c r="M37" i="14"/>
  <c r="M44" i="32" s="1"/>
  <c r="L61" i="1"/>
  <c r="J62" i="41"/>
  <c r="K55" i="1" s="1"/>
  <c r="K50" i="1"/>
  <c r="K46" i="1" s="1"/>
  <c r="K76" i="41"/>
  <c r="K73" i="41"/>
  <c r="I43" i="1"/>
  <c r="L57" i="41"/>
  <c r="L55" i="41"/>
  <c r="M40" i="1" s="1"/>
  <c r="L52" i="41"/>
  <c r="M37" i="1" s="1"/>
  <c r="L13" i="32"/>
  <c r="G15" i="16"/>
  <c r="K41" i="1"/>
  <c r="K43" i="1" s="1"/>
  <c r="J41" i="1"/>
  <c r="J43" i="1" s="1"/>
  <c r="K75" i="30"/>
  <c r="J40" i="14" l="1"/>
  <c r="I55" i="3" s="1"/>
  <c r="I57" i="3" s="1"/>
  <c r="I59" i="1" s="1"/>
  <c r="N37" i="14"/>
  <c r="N44" i="32" s="1"/>
  <c r="M61" i="1"/>
  <c r="L59" i="41"/>
  <c r="L61" i="41" s="1"/>
  <c r="M54" i="1" s="1"/>
  <c r="M49" i="1"/>
  <c r="K62" i="41"/>
  <c r="L55" i="1" s="1"/>
  <c r="L50" i="1"/>
  <c r="L46" i="1" s="1"/>
  <c r="L76" i="41"/>
  <c r="L73" i="41"/>
  <c r="K28" i="3"/>
  <c r="K85" i="30" s="1"/>
  <c r="L69" i="30"/>
  <c r="K61" i="41"/>
  <c r="L54" i="1" s="1"/>
  <c r="K40" i="14" l="1"/>
  <c r="L40" i="14" s="1"/>
  <c r="L62" i="41"/>
  <c r="M55" i="1" s="1"/>
  <c r="M50" i="1"/>
  <c r="M46" i="1" s="1"/>
  <c r="J55" i="3"/>
  <c r="J57" i="3" s="1"/>
  <c r="J59" i="1" s="1"/>
  <c r="L41" i="1"/>
  <c r="L43" i="1" s="1"/>
  <c r="M40" i="14" s="1"/>
  <c r="M41" i="1"/>
  <c r="M43" i="1" s="1"/>
  <c r="L72" i="30"/>
  <c r="L95" i="30" s="1"/>
  <c r="N40" i="14" l="1"/>
  <c r="M55" i="3" s="1"/>
  <c r="M57" i="3" s="1"/>
  <c r="M59" i="1" s="1"/>
  <c r="K55" i="3"/>
  <c r="K57" i="3" s="1"/>
  <c r="K59" i="1" s="1"/>
  <c r="L75" i="30"/>
  <c r="M69" i="30" s="1"/>
  <c r="M13" i="32"/>
  <c r="H15" i="16"/>
  <c r="L55" i="3" l="1"/>
  <c r="L57" i="3" s="1"/>
  <c r="L59" i="1" s="1"/>
  <c r="L28" i="3"/>
  <c r="L85" i="30" s="1"/>
  <c r="M72" i="30"/>
  <c r="M95" i="30" s="1"/>
  <c r="M75" i="30" l="1"/>
  <c r="M28" i="3" s="1"/>
  <c r="M85" i="30" s="1"/>
  <c r="N13" i="32"/>
  <c r="I15" i="16"/>
  <c r="I31" i="30" l="1"/>
  <c r="D17" i="16" l="1"/>
  <c r="D18" i="16" s="1"/>
  <c r="E17" i="16" l="1"/>
  <c r="F17" i="16" l="1"/>
  <c r="J69" i="32" l="1"/>
  <c r="J22" i="32" l="1"/>
  <c r="K11" i="3"/>
  <c r="J11" i="3"/>
  <c r="K22" i="32" l="1"/>
  <c r="L22" i="32"/>
  <c r="L69" i="32"/>
  <c r="K69" i="32"/>
  <c r="L11" i="3"/>
  <c r="M22" i="32" s="1"/>
  <c r="M11" i="3"/>
  <c r="N22" i="32" l="1"/>
  <c r="N69" i="32"/>
  <c r="M69" i="32"/>
  <c r="J65" i="32"/>
  <c r="M65" i="32"/>
  <c r="N65" i="32"/>
  <c r="K65" i="32"/>
  <c r="L65" i="32"/>
  <c r="I23" i="3"/>
  <c r="I32" i="30"/>
  <c r="I92" i="30" s="1"/>
  <c r="E14" i="16" s="1"/>
  <c r="I37" i="30" l="1"/>
  <c r="J11" i="32"/>
  <c r="J25" i="32" s="1"/>
  <c r="I96" i="30"/>
  <c r="J64" i="32" l="1"/>
  <c r="J31" i="30"/>
  <c r="I22" i="3"/>
  <c r="I82" i="30" l="1"/>
  <c r="J58" i="32" l="1"/>
  <c r="J59" i="32" s="1"/>
  <c r="J60" i="32" l="1"/>
  <c r="I45" i="3"/>
  <c r="I51" i="3" s="1"/>
  <c r="J66" i="32" l="1"/>
  <c r="J68" i="32" s="1"/>
  <c r="J70" i="32" s="1"/>
  <c r="K57" i="32"/>
  <c r="J72" i="32" l="1"/>
  <c r="J40" i="32" s="1"/>
  <c r="J47" i="32" s="1"/>
  <c r="J50" i="32" s="1"/>
  <c r="J52" i="32" s="1"/>
  <c r="J73" i="32"/>
  <c r="J74" i="32" s="1"/>
  <c r="I34" i="3"/>
  <c r="I44" i="3" l="1"/>
  <c r="I52" i="3" s="1"/>
  <c r="K71" i="32"/>
  <c r="J77" i="32"/>
  <c r="J78" i="32" s="1"/>
  <c r="I8" i="3"/>
  <c r="I17" i="3" l="1"/>
  <c r="I32" i="3" s="1"/>
  <c r="F43" i="16"/>
  <c r="D18" i="23" s="1"/>
  <c r="J79" i="32"/>
  <c r="E9" i="16" s="1"/>
  <c r="E10" i="16" s="1"/>
  <c r="K51" i="32"/>
  <c r="I58" i="3"/>
  <c r="I63" i="3" s="1"/>
  <c r="E12" i="16" l="1"/>
  <c r="E13" i="16" s="1"/>
  <c r="E11" i="16"/>
  <c r="K62" i="32"/>
  <c r="K76" i="32"/>
  <c r="I62" i="3"/>
  <c r="I59" i="3"/>
  <c r="E16" i="16" l="1"/>
  <c r="E18" i="16" s="1"/>
  <c r="E19" i="16" s="1"/>
  <c r="J23" i="3"/>
  <c r="L32" i="30"/>
  <c r="L23" i="3"/>
  <c r="K32" i="30"/>
  <c r="K23" i="3"/>
  <c r="M32" i="30"/>
  <c r="M23" i="3"/>
  <c r="J32" i="30"/>
  <c r="J34" i="30" s="1"/>
  <c r="J92" i="30" s="1"/>
  <c r="E36" i="16" l="1"/>
  <c r="J96" i="30"/>
  <c r="K11" i="32"/>
  <c r="K25" i="32" s="1"/>
  <c r="F14" i="16"/>
  <c r="J37" i="30"/>
  <c r="K31" i="30" l="1"/>
  <c r="J22" i="3"/>
  <c r="K64" i="32"/>
  <c r="J31" i="3" l="1"/>
  <c r="J82" i="30"/>
  <c r="K34" i="30"/>
  <c r="K92" i="30" s="1"/>
  <c r="G14" i="16" l="1"/>
  <c r="L11" i="32"/>
  <c r="L25" i="32" s="1"/>
  <c r="K96" i="30"/>
  <c r="K58" i="32"/>
  <c r="K59" i="32" s="1"/>
  <c r="K37" i="30"/>
  <c r="J45" i="3" l="1"/>
  <c r="J51" i="3" s="1"/>
  <c r="K60" i="32"/>
  <c r="L64" i="32"/>
  <c r="K22" i="3"/>
  <c r="L31" i="30"/>
  <c r="L34" i="30" l="1"/>
  <c r="L92" i="30" s="1"/>
  <c r="K82" i="30"/>
  <c r="K31" i="3"/>
  <c r="L57" i="32"/>
  <c r="K66" i="32"/>
  <c r="K68" i="32" s="1"/>
  <c r="K70" i="32" s="1"/>
  <c r="L37" i="30" l="1"/>
  <c r="L22" i="3" s="1"/>
  <c r="J34" i="3"/>
  <c r="K72" i="32"/>
  <c r="K40" i="32" s="1"/>
  <c r="K47" i="32" s="1"/>
  <c r="K50" i="32" s="1"/>
  <c r="K52" i="32" s="1"/>
  <c r="K73" i="32"/>
  <c r="K74" i="32" s="1"/>
  <c r="L58" i="32"/>
  <c r="L59" i="32" s="1"/>
  <c r="M11" i="32"/>
  <c r="M25" i="32" s="1"/>
  <c r="L96" i="30"/>
  <c r="H14" i="16"/>
  <c r="M31" i="30" l="1"/>
  <c r="K45" i="3"/>
  <c r="K51" i="3" s="1"/>
  <c r="L60" i="32"/>
  <c r="L71" i="32"/>
  <c r="J44" i="3"/>
  <c r="J52" i="3" s="1"/>
  <c r="M64" i="32"/>
  <c r="M34" i="30"/>
  <c r="M92" i="30" s="1"/>
  <c r="L31" i="3"/>
  <c r="L82" i="30"/>
  <c r="J8" i="3"/>
  <c r="K77" i="32"/>
  <c r="K78" i="32" s="1"/>
  <c r="K79" i="32" s="1"/>
  <c r="F9" i="16" s="1"/>
  <c r="F10" i="16" s="1"/>
  <c r="F11" i="16" l="1"/>
  <c r="F12" i="16"/>
  <c r="F13" i="16" s="1"/>
  <c r="M37" i="30"/>
  <c r="M22" i="3" s="1"/>
  <c r="J58" i="3"/>
  <c r="J63" i="3" s="1"/>
  <c r="J17" i="3"/>
  <c r="L51" i="32"/>
  <c r="M96" i="30"/>
  <c r="I14" i="16"/>
  <c r="N11" i="32"/>
  <c r="N25" i="32" s="1"/>
  <c r="M58" i="32"/>
  <c r="L66" i="32"/>
  <c r="M57" i="32"/>
  <c r="N64" i="32" l="1"/>
  <c r="L62" i="32"/>
  <c r="L68" i="32" s="1"/>
  <c r="L70" i="32" s="1"/>
  <c r="L76" i="32"/>
  <c r="M31" i="3"/>
  <c r="M82" i="30"/>
  <c r="M59" i="32"/>
  <c r="L45" i="3" s="1"/>
  <c r="L51" i="3" s="1"/>
  <c r="J62" i="3"/>
  <c r="J32" i="3"/>
  <c r="J59" i="3" s="1"/>
  <c r="F16" i="16" l="1"/>
  <c r="F18" i="16" s="1"/>
  <c r="L72" i="32"/>
  <c r="L40" i="32" s="1"/>
  <c r="L47" i="32" s="1"/>
  <c r="L50" i="32" s="1"/>
  <c r="L52" i="32" s="1"/>
  <c r="K34" i="3"/>
  <c r="L73" i="32"/>
  <c r="L74" i="32" s="1"/>
  <c r="M66" i="32"/>
  <c r="N57" i="32"/>
  <c r="N58" i="32"/>
  <c r="M60" i="32"/>
  <c r="F19" i="16" l="1"/>
  <c r="F36" i="16"/>
  <c r="L77" i="32"/>
  <c r="L78" i="32" s="1"/>
  <c r="L79" i="32" s="1"/>
  <c r="G9" i="16" s="1"/>
  <c r="G10" i="16" s="1"/>
  <c r="K8" i="3"/>
  <c r="N59" i="32"/>
  <c r="M45" i="3" s="1"/>
  <c r="M51" i="3" s="1"/>
  <c r="M71" i="32"/>
  <c r="K44" i="3"/>
  <c r="K52" i="3" s="1"/>
  <c r="N60" i="32" l="1"/>
  <c r="K58" i="3"/>
  <c r="N66" i="32"/>
  <c r="M51" i="32"/>
  <c r="K17" i="3"/>
  <c r="G11" i="16"/>
  <c r="G12" i="16"/>
  <c r="G13" i="16" s="1"/>
  <c r="K62" i="3" l="1"/>
  <c r="K32" i="3"/>
  <c r="K59" i="3" s="1"/>
  <c r="M76" i="32"/>
  <c r="M62" i="32"/>
  <c r="M68" i="32" s="1"/>
  <c r="M70" i="32" s="1"/>
  <c r="K63" i="3"/>
  <c r="G16" i="16" l="1"/>
  <c r="G18" i="16" s="1"/>
  <c r="M72" i="32"/>
  <c r="M40" i="32" s="1"/>
  <c r="M47" i="32" s="1"/>
  <c r="M50" i="32" s="1"/>
  <c r="M52" i="32" s="1"/>
  <c r="L34" i="3"/>
  <c r="M73" i="32"/>
  <c r="M74" i="32" s="1"/>
  <c r="G19" i="16" l="1"/>
  <c r="G36" i="16"/>
  <c r="L44" i="3"/>
  <c r="L52" i="3" s="1"/>
  <c r="N71" i="32"/>
  <c r="M77" i="32"/>
  <c r="M78" i="32" s="1"/>
  <c r="M79" i="32" s="1"/>
  <c r="H9" i="16" s="1"/>
  <c r="H10" i="16" s="1"/>
  <c r="L8" i="3"/>
  <c r="H11" i="16" l="1"/>
  <c r="H12" i="16"/>
  <c r="H13" i="16" s="1"/>
  <c r="N51" i="32"/>
  <c r="L17" i="3"/>
  <c r="L58" i="3"/>
  <c r="N62" i="32" l="1"/>
  <c r="N68" i="32" s="1"/>
  <c r="N70" i="32" s="1"/>
  <c r="N76" i="32"/>
  <c r="L63" i="3"/>
  <c r="L62" i="3"/>
  <c r="L32" i="3"/>
  <c r="L59" i="3" s="1"/>
  <c r="H16" i="16" l="1"/>
  <c r="H18" i="16" s="1"/>
  <c r="N72" i="32"/>
  <c r="N40" i="32" s="1"/>
  <c r="N47" i="32" s="1"/>
  <c r="N50" i="32" s="1"/>
  <c r="N52" i="32" s="1"/>
  <c r="M34" i="3"/>
  <c r="M44" i="3" s="1"/>
  <c r="M52" i="3" s="1"/>
  <c r="N73" i="32"/>
  <c r="N74" i="32" s="1"/>
  <c r="H19" i="16" l="1"/>
  <c r="H36" i="16"/>
  <c r="M8" i="3"/>
  <c r="M17" i="3" s="1"/>
  <c r="N77" i="32"/>
  <c r="N78" i="32" s="1"/>
  <c r="N79" i="32" s="1"/>
  <c r="I9" i="16" s="1"/>
  <c r="I10" i="16" s="1"/>
  <c r="M58" i="3"/>
  <c r="M63" i="3" s="1"/>
  <c r="I11" i="16" l="1"/>
  <c r="I12" i="16"/>
  <c r="I13" i="16" s="1"/>
  <c r="M62" i="3"/>
  <c r="I16" i="16" s="1"/>
  <c r="M32" i="3"/>
  <c r="M59" i="3" s="1"/>
  <c r="N67" i="3" s="1"/>
  <c r="I18" i="16" l="1"/>
  <c r="D22" i="16" s="1"/>
  <c r="E22" i="16" s="1"/>
  <c r="I36" i="16" l="1"/>
  <c r="F22" i="16"/>
  <c r="I19" i="16"/>
  <c r="G22" i="16" l="1"/>
  <c r="H22" i="16" s="1"/>
  <c r="I22" i="16" s="1"/>
  <c r="J22" i="16" s="1"/>
  <c r="D38" i="16"/>
  <c r="E38" i="16"/>
  <c r="K22" i="16" l="1"/>
  <c r="J38" i="16"/>
  <c r="F38" i="16"/>
  <c r="L22" i="16" l="1"/>
  <c r="K38" i="16"/>
  <c r="G38" i="16"/>
  <c r="M22" i="16" l="1"/>
  <c r="L38" i="16"/>
  <c r="H38" i="16"/>
  <c r="F41" i="16" l="1"/>
  <c r="M38" i="16"/>
  <c r="I38" i="16"/>
  <c r="F40" i="16" s="1"/>
  <c r="F42" i="16" l="1"/>
  <c r="D17" i="23" s="1"/>
  <c r="D11" i="45" l="1"/>
  <c r="F45" i="16"/>
  <c r="D20" i="23" s="1"/>
  <c r="F47" i="16" l="1"/>
  <c r="D10" i="45" s="1"/>
  <c r="F11" i="45" s="1"/>
  <c r="C52" i="16" l="1"/>
  <c r="D2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12" authorId="0" shapeId="0" xr:uid="{00000000-0006-0000-0100-000001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2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绝大部分为阿胶等产品的销售，也包括其它生物制药、医疗器械产品</t>
        </r>
      </text>
    </comment>
  </commentList>
</comments>
</file>

<file path=xl/sharedStrings.xml><?xml version="1.0" encoding="utf-8"?>
<sst xmlns="http://schemas.openxmlformats.org/spreadsheetml/2006/main" count="1037" uniqueCount="724">
  <si>
    <t>一、EXCEL循环计算功能说明</t>
  </si>
  <si>
    <t>以WORD2016为例，依次点击文件-选项-公式-启用迭代计算，打开EXCEL循环计算功能。</t>
  </si>
  <si>
    <t>二、数据输入和引用说明：</t>
  </si>
  <si>
    <t>=</t>
  </si>
  <si>
    <t>输入数字假设，可以变动</t>
  </si>
  <si>
    <t>公式或给定数字，无需变动</t>
  </si>
  <si>
    <t>模型的批注</t>
  </si>
  <si>
    <t>三、估值模版各sheet颜色标记说明：</t>
  </si>
  <si>
    <t>关键假设</t>
  </si>
  <si>
    <t>相关sheet颜色</t>
  </si>
  <si>
    <t>估值过程</t>
  </si>
  <si>
    <t>结果输出</t>
  </si>
  <si>
    <t>四、估值模版运行过程说明：</t>
  </si>
  <si>
    <t>1、“资产负债表”、“利润表”的会计科目和历史数据根据公司定期报告数据做适当调整而得；</t>
  </si>
  <si>
    <t>2、结合以上历史数据及分析判断确定各预测假设参数；</t>
  </si>
  <si>
    <t>3、根据以上假设参数，生成“资产负债表”和“利润表”的预测数据；</t>
  </si>
  <si>
    <t>4、根据设定的融资假设，预测具体的融资计划，并对“资产负债表”及“利润表”进行迭代优化计算；</t>
  </si>
  <si>
    <t>5、根据迭代后的“资产负债表”和“利润表”，生成“现金流量表”；</t>
  </si>
  <si>
    <t>6、利用最终预测的三张表格进行DCF或者PE等模型估值。</t>
  </si>
  <si>
    <t>2014A</t>
  </si>
  <si>
    <t>2015A</t>
  </si>
  <si>
    <t>2016A</t>
  </si>
  <si>
    <t>2017A</t>
  </si>
  <si>
    <t>2018A</t>
  </si>
  <si>
    <t>2019E</t>
  </si>
  <si>
    <t>2020E</t>
  </si>
  <si>
    <t>2021E</t>
  </si>
  <si>
    <t>2022E</t>
  </si>
  <si>
    <t>2023E</t>
  </si>
  <si>
    <t>营业总收入</t>
  </si>
  <si>
    <t xml:space="preserve">                YoY</t>
  </si>
  <si>
    <t>营业成本</t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</si>
  <si>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收入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</si>
  <si>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占比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</si>
  <si>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成本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</si>
  <si>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</si>
  <si>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毛利率</t>
    </r>
    <r>
      <rPr>
        <sz val="9"/>
        <color theme="1"/>
        <rFont val="Arial"/>
        <family val="2"/>
      </rPr>
      <t>(%)</t>
    </r>
  </si>
  <si>
    <t xml:space="preserve">                收入</t>
  </si>
  <si>
    <t xml:space="preserve">                占比</t>
  </si>
  <si>
    <t xml:space="preserve">                成本</t>
  </si>
  <si>
    <t xml:space="preserve">                毛利</t>
  </si>
  <si>
    <t xml:space="preserve">                毛利率(%)</t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</si>
  <si>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内部抵销</t>
    </r>
  </si>
  <si>
    <t>收入贡献（分产品）</t>
  </si>
  <si>
    <t xml:space="preserve">        Sum</t>
  </si>
  <si>
    <t>关联渠道销售情况（以华润为主）</t>
  </si>
  <si>
    <t xml:space="preserve">  YoY-关联渠道收入</t>
  </si>
  <si>
    <t xml:space="preserve">  YoY-营业总收入</t>
  </si>
  <si>
    <t xml:space="preserve">  % 营业总收入</t>
  </si>
  <si>
    <t>非关联渠道销售情况</t>
  </si>
  <si>
    <t xml:space="preserve">  YoY-非关联渠道收入</t>
  </si>
  <si>
    <t>2014-12-31</t>
  </si>
  <si>
    <t>2015-12-31</t>
  </si>
  <si>
    <t>2016-12-31</t>
  </si>
  <si>
    <t>2017-12-31</t>
  </si>
  <si>
    <t>2018-12-31</t>
  </si>
  <si>
    <t>报告期</t>
  </si>
  <si>
    <t>年报</t>
  </si>
  <si>
    <t>报表类型</t>
  </si>
  <si>
    <t>合并报表</t>
  </si>
  <si>
    <t>　　营业收入</t>
  </si>
  <si>
    <t>　　其他类金融业务收入</t>
  </si>
  <si>
    <t>　　　　利息收入</t>
  </si>
  <si>
    <t>　　　　已赚保费</t>
  </si>
  <si>
    <t>　　　　手续费及佣金收入</t>
  </si>
  <si>
    <t>营业总成本</t>
  </si>
  <si>
    <t>　　营业成本</t>
  </si>
  <si>
    <t>　　税金及附加</t>
  </si>
  <si>
    <t>　　销售费用</t>
  </si>
  <si>
    <t>　　管理费用</t>
  </si>
  <si>
    <t>　　研发费用</t>
  </si>
  <si>
    <t>　　财务费用</t>
  </si>
  <si>
    <t>　　　　其中：利息费用</t>
  </si>
  <si>
    <t>　　　　　　　减：利息收入</t>
  </si>
  <si>
    <t>　　其他业务成本(金融类)</t>
  </si>
  <si>
    <t>　　　　利息支出</t>
  </si>
  <si>
    <t>　　　　手续费及佣金支出</t>
  </si>
  <si>
    <t>　　　　退保金</t>
  </si>
  <si>
    <t>　　　　赔付支出净额</t>
  </si>
  <si>
    <t>　　　　提取保险合同准备金净额</t>
  </si>
  <si>
    <t>　　　　保单红利支出</t>
  </si>
  <si>
    <t>　　　　分保费用</t>
  </si>
  <si>
    <t>　　加：其他收益</t>
  </si>
  <si>
    <t>　　投资净收益</t>
  </si>
  <si>
    <t>　　　　其中：对联营企业和合营企业的投资收益</t>
  </si>
  <si>
    <t>　　　　　　　　以摊余成本计量的金融资产终止确认收益</t>
  </si>
  <si>
    <t>　　净敞口套期收益</t>
  </si>
  <si>
    <t>　　公允价值变动净收益</t>
  </si>
  <si>
    <t>　　资产减值损失</t>
  </si>
  <si>
    <t>　　信用减值损失</t>
  </si>
  <si>
    <t>　　资产处置收益</t>
  </si>
  <si>
    <t>　　汇兑净收益</t>
  </si>
  <si>
    <t>　　加：营业利润差额(特殊报表科目)</t>
  </si>
  <si>
    <t>　　　　营业利润差额(合计平衡项目)</t>
  </si>
  <si>
    <t>营业利润</t>
  </si>
  <si>
    <t>　　加：营业外收入</t>
  </si>
  <si>
    <t>　　减：营业外支出</t>
  </si>
  <si>
    <t>　　　　其中：非流动资产处置净损失</t>
  </si>
  <si>
    <t>　　加：利润总额差额(特殊报表科目)</t>
  </si>
  <si>
    <t>　　　　利润总额差额(合计平衡项目)</t>
  </si>
  <si>
    <t>利润总额</t>
  </si>
  <si>
    <t>　　减：所得税</t>
  </si>
  <si>
    <t>　　加：未确认的投资损失</t>
  </si>
  <si>
    <t>　　加：净利润差额(特殊报表科目)</t>
  </si>
  <si>
    <t>　　　　净利润差额(合计平衡项目)</t>
  </si>
  <si>
    <t>净利润</t>
  </si>
  <si>
    <t>　　持续经营净利润</t>
  </si>
  <si>
    <t>　　终止经营净利润</t>
  </si>
  <si>
    <t>　　减：少数股东损益</t>
  </si>
  <si>
    <t>　　归属于母公司所有者的净利润</t>
  </si>
  <si>
    <t>　　加：其他综合收益</t>
  </si>
  <si>
    <t>综合收益总额</t>
  </si>
  <si>
    <t>　　减：归属于少数股东的综合收益总额</t>
  </si>
  <si>
    <t>　　归属于母公司普通股东综合收益总额</t>
  </si>
  <si>
    <t>每股收益：</t>
  </si>
  <si>
    <t/>
  </si>
  <si>
    <t>　　基本每股收益</t>
  </si>
  <si>
    <t>　　稀释每股收益</t>
  </si>
  <si>
    <r>
      <rPr>
        <sz val="9"/>
        <color theme="1"/>
        <rFont val="宋体"/>
        <family val="3"/>
        <charset val="134"/>
      </rPr>
      <t>营业税金及附加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营业收入</t>
    </r>
  </si>
  <si>
    <r>
      <rPr>
        <sz val="9"/>
        <color theme="1"/>
        <rFont val="宋体"/>
        <family val="3"/>
        <charset val="134"/>
      </rPr>
      <t>销售费用率</t>
    </r>
  </si>
  <si>
    <t>管理费用率</t>
  </si>
  <si>
    <t>研发费用率</t>
  </si>
  <si>
    <t>财务费用率</t>
  </si>
  <si>
    <t>资产减值损失/营业收入</t>
  </si>
  <si>
    <t>有效税率</t>
  </si>
  <si>
    <t>营业收入-YoY</t>
  </si>
  <si>
    <t>归母净利润-YoY</t>
  </si>
  <si>
    <t>毛利率</t>
  </si>
  <si>
    <t>毛销差</t>
  </si>
  <si>
    <t>归母净利润率</t>
  </si>
  <si>
    <t>2017-06-30</t>
  </si>
  <si>
    <t>2019-03-31</t>
  </si>
  <si>
    <t>2019-06-30</t>
  </si>
  <si>
    <t>2019-09-30</t>
  </si>
  <si>
    <t>流动资产：</t>
  </si>
  <si>
    <t>　　货币资金</t>
  </si>
  <si>
    <t>　　交易性金融资产</t>
  </si>
  <si>
    <t>　　衍生金融资产</t>
  </si>
  <si>
    <t>　　应收票据</t>
  </si>
  <si>
    <t>　　应收账款</t>
  </si>
  <si>
    <t>　　应收款项融资</t>
  </si>
  <si>
    <t>　　预付款项</t>
  </si>
  <si>
    <t>　　其他应收款(合计)</t>
  </si>
  <si>
    <t>　　　　应收股利</t>
  </si>
  <si>
    <t>　　　　应收利息</t>
  </si>
  <si>
    <t>　　　　其他应收款</t>
  </si>
  <si>
    <t>　　买入返售金融资产</t>
  </si>
  <si>
    <t>　　存货</t>
  </si>
  <si>
    <t>　　其中：消耗性生物资产</t>
  </si>
  <si>
    <t>　　合同资产</t>
  </si>
  <si>
    <t>　　划分为持有待售的资产</t>
  </si>
  <si>
    <t>　　一年内到期的非流动资产</t>
  </si>
  <si>
    <t>　　待摊费用</t>
  </si>
  <si>
    <t>　　其他流动资产</t>
  </si>
  <si>
    <t>　　其他金融类流动资产</t>
  </si>
  <si>
    <t>　　流动资产差额(特殊报表科目)</t>
  </si>
  <si>
    <t>　　流动资产差额(合计平衡项目)</t>
  </si>
  <si>
    <t>　　流动资产合计</t>
  </si>
  <si>
    <t>非流动资产：</t>
  </si>
  <si>
    <t>　　发放贷款及垫款</t>
  </si>
  <si>
    <t>　　以公允价值且其变动计入其他综合收益的金融资产</t>
  </si>
  <si>
    <t>　　以摊余成本计量的金融资产</t>
  </si>
  <si>
    <t>　　债权投资</t>
  </si>
  <si>
    <t>　　其他债权投资</t>
  </si>
  <si>
    <t>　　可供出售金融资产</t>
  </si>
  <si>
    <t>　　其他权益工具投资</t>
  </si>
  <si>
    <t>　　持有至到期投资</t>
  </si>
  <si>
    <t>　　其他非流动金融资产</t>
  </si>
  <si>
    <t>　　长期应收款</t>
  </si>
  <si>
    <t>　　长期股权投资</t>
  </si>
  <si>
    <t>　　投资性房地产</t>
  </si>
  <si>
    <t>　　固定资产(合计)</t>
  </si>
  <si>
    <t>　　　　固定资产</t>
  </si>
  <si>
    <t>　　　　固定资产清理</t>
  </si>
  <si>
    <t>　　在建工程(合计)</t>
  </si>
  <si>
    <t>　　　　在建工程</t>
  </si>
  <si>
    <t>　　　　工程物资</t>
  </si>
  <si>
    <t>　　生产性生物资产</t>
  </si>
  <si>
    <t>　　油气资产</t>
  </si>
  <si>
    <t>　　使用权资产</t>
  </si>
  <si>
    <t>　　无形资产</t>
  </si>
  <si>
    <t>　　开发支出</t>
  </si>
  <si>
    <t>　　商誉</t>
  </si>
  <si>
    <t>　　长期待摊费用</t>
  </si>
  <si>
    <t>　　递延所得税资产</t>
  </si>
  <si>
    <t>　　其他非流动资产</t>
  </si>
  <si>
    <t>　　非流动资产差额(特殊报表科目)</t>
  </si>
  <si>
    <t>　　非流动资产差额(合计平衡项目)</t>
  </si>
  <si>
    <t>　　非流动资产合计</t>
  </si>
  <si>
    <t>资产差额(特殊报表科目)</t>
  </si>
  <si>
    <t>资产差额(合计平衡项目)</t>
  </si>
  <si>
    <t>资产总计</t>
  </si>
  <si>
    <t>流动负债：</t>
  </si>
  <si>
    <t>　　短期借款</t>
  </si>
  <si>
    <t>　　交易性金融负债</t>
  </si>
  <si>
    <t>　　衍生金融负债</t>
  </si>
  <si>
    <t>　　应付票据</t>
  </si>
  <si>
    <t>　　应付账款</t>
  </si>
  <si>
    <t>　　预收款项</t>
  </si>
  <si>
    <t>　　合同负债</t>
  </si>
  <si>
    <t>　　应付手续费及佣金</t>
  </si>
  <si>
    <t>　　应付职工薪酬</t>
  </si>
  <si>
    <t>　　应交税费</t>
  </si>
  <si>
    <t>　　其他应付款(合计)</t>
  </si>
  <si>
    <t>　　　　应付利息</t>
  </si>
  <si>
    <t>　　　　应付股利</t>
  </si>
  <si>
    <t>　　　　其他应付款</t>
  </si>
  <si>
    <t>　　划分为持有待售的负债</t>
  </si>
  <si>
    <t>　　一年内到期的非流动负债</t>
  </si>
  <si>
    <t>　　预提费用</t>
  </si>
  <si>
    <t>　　递延收益-流动负债</t>
  </si>
  <si>
    <t>　　应付短期债券</t>
  </si>
  <si>
    <t>　　其他流动负债</t>
  </si>
  <si>
    <t>　　其他金融类流动负债</t>
  </si>
  <si>
    <t>　　流动负债差额(特殊报表科目)</t>
  </si>
  <si>
    <t>　　流动负债差额(合计平衡项目)</t>
  </si>
  <si>
    <t>　　流动负债合计</t>
  </si>
  <si>
    <t>非流动负债：</t>
  </si>
  <si>
    <t>　　长期借款</t>
  </si>
  <si>
    <t>　　应付债券</t>
  </si>
  <si>
    <t>　　租赁负债</t>
  </si>
  <si>
    <t>　　长期应付款(合计)</t>
  </si>
  <si>
    <t>　　　　长期应付款</t>
  </si>
  <si>
    <t>　　　　专项应付款</t>
  </si>
  <si>
    <t>　　长期应付职工薪酬</t>
  </si>
  <si>
    <t>　　预计负债</t>
  </si>
  <si>
    <t>　　递延所得税负债</t>
  </si>
  <si>
    <t>　　其他非流动负债</t>
  </si>
  <si>
    <t>　　非流动负债差额(特殊报表科目)</t>
  </si>
  <si>
    <t>　　非流动负债差额(合计平衡项目)</t>
  </si>
  <si>
    <t>　　非流动负债合计</t>
  </si>
  <si>
    <t>　　负债差额(特殊报表科目)</t>
  </si>
  <si>
    <t>　　负债差额(合计平衡项目)</t>
  </si>
  <si>
    <t>　　负债合计</t>
  </si>
  <si>
    <t>所有者权益(或股东权益)：</t>
  </si>
  <si>
    <t>　　实收资本(或股本)</t>
  </si>
  <si>
    <t>　　其它权益工具</t>
  </si>
  <si>
    <t>　　　　其中：优先股</t>
  </si>
  <si>
    <t>　　　　　　　永续债</t>
  </si>
  <si>
    <t>　　资本公积金</t>
  </si>
  <si>
    <t>　　减：库存股</t>
  </si>
  <si>
    <t>　　其它综合收益</t>
  </si>
  <si>
    <t>　　专项储备</t>
  </si>
  <si>
    <t>　　盈余公积金</t>
  </si>
  <si>
    <t>　　一般风险准备</t>
  </si>
  <si>
    <t>　　未分配利润</t>
  </si>
  <si>
    <t>　　外币报表折算差额</t>
  </si>
  <si>
    <t>　　未确认的投资损失</t>
  </si>
  <si>
    <t>　　股东权益差额(特殊报表科目)</t>
  </si>
  <si>
    <t>　　股权权益差额(合计平衡项目)</t>
  </si>
  <si>
    <t>　　归属于母公司所有者权益合计</t>
  </si>
  <si>
    <t>　　少数股东权益</t>
  </si>
  <si>
    <t>　　所有者权益合计</t>
  </si>
  <si>
    <t>负债及股东权益差额(特殊报表项目)</t>
  </si>
  <si>
    <t>负债及股东权益差额(合计平衡项目)</t>
  </si>
  <si>
    <t>负债和所有者权益总计</t>
  </si>
  <si>
    <t>2018-03-31</t>
  </si>
  <si>
    <t>2018-06-30</t>
  </si>
  <si>
    <t>2018-09-30</t>
  </si>
  <si>
    <t>经营活动产生的现金流量：</t>
  </si>
  <si>
    <t>　　销售商品、提供劳务收到的现金</t>
  </si>
  <si>
    <t>　　收到的税费返还</t>
  </si>
  <si>
    <t>　　收到其他与经营活动有关的现金</t>
  </si>
  <si>
    <t>　　经营活动现金流入(金融类)</t>
  </si>
  <si>
    <t>　　经营活动现金流入差额(特殊报表科目)</t>
  </si>
  <si>
    <t>　　经营活动现金流入差额(合计平衡项目)</t>
  </si>
  <si>
    <t>　　经营活动现金流入小计</t>
  </si>
  <si>
    <t>　　购买商品、接受劳务支付的现金</t>
  </si>
  <si>
    <t>　　支付给职工以及为职工支付的现金</t>
  </si>
  <si>
    <t>　　支付的各项税费</t>
  </si>
  <si>
    <t>　　支付其他与经营活动有关的现金</t>
  </si>
  <si>
    <t>　　经营活动现金流出(金融类)</t>
  </si>
  <si>
    <t>　　经营活动现金流出差额(特殊报表科目)</t>
  </si>
  <si>
    <t>　　经营活动现金流出差额(合计平衡项目)</t>
  </si>
  <si>
    <t>　　经营活动现金流出小计</t>
  </si>
  <si>
    <t>　　经营活动产生的现金流量净额差额(合计平衡项目)</t>
  </si>
  <si>
    <t>　　经营活动产生的现金流量净额</t>
  </si>
  <si>
    <t>投资活动产生的现金流量：</t>
  </si>
  <si>
    <t>　　收回投资收到的现金</t>
  </si>
  <si>
    <t>　　取得投资收益收到的现金</t>
  </si>
  <si>
    <t>　　处置固定资产、无形资产和其他长期资产收回的现金净额</t>
  </si>
  <si>
    <t>　　处置子公司及其他营业单位收到的现金净额</t>
  </si>
  <si>
    <t>　　收到其他与投资活动有关的现金</t>
  </si>
  <si>
    <t>　　投资活动现金流入差额(特殊报表科目)</t>
  </si>
  <si>
    <t>　　投资活动现金流入差额(合计平衡项目)</t>
  </si>
  <si>
    <t>　　投资活动现金流入小计</t>
  </si>
  <si>
    <t>　　购建固定资产、无形资产和其他长期资产支付的现金</t>
  </si>
  <si>
    <t>　　投资支付的现金</t>
  </si>
  <si>
    <t>　　取得子公司及其他营业单位支付的现金净额</t>
  </si>
  <si>
    <t>　　支付其他与投资活动有关的现金</t>
  </si>
  <si>
    <t>　　投资活动现金流出差额(特殊报表科目)</t>
  </si>
  <si>
    <t>　　投资活动现金流出差额(合计平衡项目)</t>
  </si>
  <si>
    <t>　　投资活动现金流出小计</t>
  </si>
  <si>
    <t>　　投资活动产生的现金流量净额差额(合计平衡项目)</t>
  </si>
  <si>
    <t>　　投资活动产生的现金流量净额</t>
  </si>
  <si>
    <t>筹资活动产生的现金流量：</t>
  </si>
  <si>
    <t>　　吸收投资收到的现金</t>
  </si>
  <si>
    <t>　　其中：子公司吸收少数股东投资收到的现金</t>
  </si>
  <si>
    <t>　　取得借款收到的现金</t>
  </si>
  <si>
    <t>　　收到其他与筹资活动有关的现金</t>
  </si>
  <si>
    <t>　　发行债券收到的现金</t>
  </si>
  <si>
    <t>　　筹资活动现金流入差额(特殊报表科目)</t>
  </si>
  <si>
    <t>　　筹资活动现金流入差额(合计平衡项目)</t>
  </si>
  <si>
    <t>　　筹资活动现金流入小计</t>
  </si>
  <si>
    <t>　　偿还债务支付的现金</t>
  </si>
  <si>
    <t>　　分配股利、利润或偿付利息支付的现金</t>
  </si>
  <si>
    <t>　　其中：子公司支付给少数股东的股利、利润</t>
  </si>
  <si>
    <t>　　支付其他与筹资活动有关的现金</t>
  </si>
  <si>
    <t>　　筹资活动现金流出差额(特殊报表科目)</t>
  </si>
  <si>
    <t>　　筹资活动现金流出差额(合计平衡项目)</t>
  </si>
  <si>
    <t>　　筹资活动现金流出小计</t>
  </si>
  <si>
    <t>　　筹资活动产生的现金流量净额差额(合计平衡项目)</t>
  </si>
  <si>
    <t>　　筹资活动产生的现金流量净额</t>
  </si>
  <si>
    <t>汇率变动对现金的影响</t>
  </si>
  <si>
    <t>　　直接法-现金及现金等价物净增加额差额(特殊报表科目)</t>
  </si>
  <si>
    <t>　　直接法-现金及现金等价物净增加额差额(合计平衡项目)</t>
  </si>
  <si>
    <t>现金及现金等价物净增加额</t>
  </si>
  <si>
    <t>　　期初现金及现金等价物余额</t>
  </si>
  <si>
    <t>　　期末现金及现金等价物余额</t>
  </si>
  <si>
    <t>补充资料：</t>
  </si>
  <si>
    <t>　　净利润</t>
  </si>
  <si>
    <t>　　加：资产减值准备</t>
  </si>
  <si>
    <t>　　　　信用减值损失</t>
  </si>
  <si>
    <t>　　　　固定资产折旧、油气资产折耗、生产性生物资产折旧</t>
  </si>
  <si>
    <t>　　　　无形资产摊销</t>
  </si>
  <si>
    <t>　　　　使用权资产折旧</t>
  </si>
  <si>
    <t>　　　　长期待摊费用摊销</t>
  </si>
  <si>
    <t>　　　　待摊费用减少</t>
  </si>
  <si>
    <t>　　　　预提费用增加</t>
  </si>
  <si>
    <t>　　　　处置固定资产、无形资产和其他长期资产的损失</t>
  </si>
  <si>
    <t>　　　　固定资产报废损失</t>
  </si>
  <si>
    <t>　　　　公允价值变动损失</t>
  </si>
  <si>
    <t>　　　　财务费用</t>
  </si>
  <si>
    <t>　　　　投资损失</t>
  </si>
  <si>
    <t>　　　　递延所得税资产减少</t>
  </si>
  <si>
    <t>　　　　递延所得税负债增加</t>
  </si>
  <si>
    <t>　　　　存货的减少</t>
  </si>
  <si>
    <t>　　　　经营性应收项目的减少</t>
  </si>
  <si>
    <t>　　　　经营性应付项目的增加</t>
  </si>
  <si>
    <t>　　　　未确认的投资损失</t>
  </si>
  <si>
    <t>　　　　其他</t>
  </si>
  <si>
    <t>　　　　间接法-经营活动现金流量净额差额(特殊报表科目)</t>
  </si>
  <si>
    <t>　　　　间接法-经营活动现金流量净额差额(合计平衡项目)</t>
  </si>
  <si>
    <t>　　间接法-经营活动产生的现金流量净额</t>
  </si>
  <si>
    <t>　　债务转为资本</t>
  </si>
  <si>
    <t>　　一年内到期的可转换公司债券</t>
  </si>
  <si>
    <t>　　融资租入固定资产</t>
  </si>
  <si>
    <t>　　现金的期末余额</t>
  </si>
  <si>
    <t>　　减：现金的期初余额</t>
  </si>
  <si>
    <t>　　加：现金等价物的期末余额</t>
  </si>
  <si>
    <t>　　减：现金等价物的期初余额</t>
  </si>
  <si>
    <t>　　加：间接法-现金净增加额差额(特殊报表科目)</t>
  </si>
  <si>
    <t>　　　　间接法-现金净增加额差额(合计平衡项目)</t>
  </si>
  <si>
    <t>　　间接法-现金及现金等价物净增加额</t>
  </si>
  <si>
    <t>第一季度</t>
  </si>
  <si>
    <t>第二季度</t>
  </si>
  <si>
    <t>第三季度</t>
  </si>
  <si>
    <t>第四季度</t>
  </si>
  <si>
    <t>合并报表(单季度)</t>
  </si>
  <si>
    <t>其他业务收入(金融类)</t>
  </si>
  <si>
    <t>其他业务成本(金融类)</t>
  </si>
  <si>
    <t>　　其他收益</t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</si>
  <si>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财务比率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</si>
  <si>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营业收入</t>
    </r>
    <r>
      <rPr>
        <sz val="9"/>
        <color theme="1"/>
        <rFont val="Arial"/>
        <family val="2"/>
      </rPr>
      <t>-YoY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</si>
  <si>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归母净利润</t>
    </r>
    <r>
      <rPr>
        <sz val="9"/>
        <color theme="1"/>
        <rFont val="Arial"/>
        <family val="2"/>
      </rPr>
      <t>-YoY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</si>
  <si>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毛利率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</si>
  <si>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销售费用率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</si>
  <si>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毛销差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</si>
  <si>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三费率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</si>
  <si>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实际有效税率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</si>
  <si>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归母净利润率</t>
    </r>
  </si>
  <si>
    <t>预测基准</t>
  </si>
  <si>
    <t>1、经营性流动资产</t>
  </si>
  <si>
    <t>应收票据周转率</t>
  </si>
  <si>
    <t>应收账款周转率</t>
  </si>
  <si>
    <t>存货周转率</t>
  </si>
  <si>
    <t>2、经营性非流动资产</t>
  </si>
  <si>
    <t>3、经营性流动负债</t>
  </si>
  <si>
    <t>应付票据周转率</t>
  </si>
  <si>
    <t>应付账款周转率</t>
  </si>
  <si>
    <t>4、经营性非流动负债</t>
  </si>
  <si>
    <t>1、股本</t>
  </si>
  <si>
    <t xml:space="preserve">    普通股</t>
  </si>
  <si>
    <t>2、期权成本假设</t>
  </si>
  <si>
    <t xml:space="preserve">    期权成本占收入比例假设</t>
  </si>
  <si>
    <t>3、权益融资净额假设</t>
  </si>
  <si>
    <t xml:space="preserve">    普通股股数</t>
  </si>
  <si>
    <t xml:space="preserve">    稀释股数</t>
  </si>
  <si>
    <t xml:space="preserve">    number of ADS outstanding</t>
  </si>
  <si>
    <t>5、分红假设</t>
  </si>
  <si>
    <t xml:space="preserve">    股利支付率</t>
  </si>
  <si>
    <t>6、储备</t>
  </si>
  <si>
    <t xml:space="preserve"> </t>
  </si>
  <si>
    <t>融资假设</t>
  </si>
  <si>
    <t>公司最低现金余额占营业收入比例为：</t>
  </si>
  <si>
    <t>公司银行结余换算利率为：</t>
  </si>
  <si>
    <t>公司短期投资利率为：</t>
  </si>
  <si>
    <t>公司短期贷款占短期应收项目比例为：</t>
  </si>
  <si>
    <t>公司短期借款利率为：</t>
  </si>
  <si>
    <t>长期借款/长期资产</t>
  </si>
  <si>
    <t>公司长期借款利率为：</t>
  </si>
  <si>
    <t>公司长期票据利率为：</t>
  </si>
  <si>
    <t>利息费用化率</t>
  </si>
  <si>
    <t>（1）投资性房地产投资额</t>
  </si>
  <si>
    <t>（2）固定资产投资额</t>
  </si>
  <si>
    <t>（3）生物性资产投资额</t>
  </si>
  <si>
    <t>（4）无形资产投资额</t>
  </si>
  <si>
    <t>（5）长期待摊费用投资额</t>
  </si>
  <si>
    <t>（6）长期股权投资额</t>
  </si>
  <si>
    <t>（7）资本开支合计</t>
  </si>
  <si>
    <t>投资性房地产假设</t>
  </si>
  <si>
    <t>期初账面价值（净值）</t>
  </si>
  <si>
    <t xml:space="preserve">    净添置</t>
  </si>
  <si>
    <t xml:space="preserve">    年内折旧</t>
  </si>
  <si>
    <t>折旧率</t>
  </si>
  <si>
    <t>期末账面余额（净值）</t>
  </si>
  <si>
    <t>固定资产假设</t>
  </si>
  <si>
    <t>在建工程</t>
  </si>
  <si>
    <t>生物性资产假设</t>
  </si>
  <si>
    <t>无形资产假设</t>
  </si>
  <si>
    <t xml:space="preserve">    年内计提摊销</t>
  </si>
  <si>
    <t>摊销率</t>
  </si>
  <si>
    <t>开发支出</t>
  </si>
  <si>
    <t>长期待摊费用假设</t>
  </si>
  <si>
    <t>检验</t>
  </si>
  <si>
    <t>收入/投资性地产</t>
  </si>
  <si>
    <t>收入/固定资产</t>
  </si>
  <si>
    <t>收入/生物性资产</t>
  </si>
  <si>
    <t>收入/无形资产</t>
  </si>
  <si>
    <t>收入/长期待摊费用</t>
  </si>
  <si>
    <t>折旧与摊销汇总</t>
  </si>
  <si>
    <t>投资性房地产折旧</t>
  </si>
  <si>
    <t>固定资产折旧</t>
  </si>
  <si>
    <t>生物性资产折旧</t>
  </si>
  <si>
    <t>无形资产摊销</t>
  </si>
  <si>
    <t>长期待摊费用摊销</t>
  </si>
  <si>
    <t>合计</t>
  </si>
  <si>
    <t>一、营业总收入</t>
  </si>
  <si>
    <t>其中：营业收入</t>
  </si>
  <si>
    <t xml:space="preserve">    同比增速</t>
  </si>
  <si>
    <t>二、营业总成本</t>
  </si>
  <si>
    <t>其中：营业成本</t>
  </si>
  <si>
    <t xml:space="preserve">         税金及附加</t>
  </si>
  <si>
    <t xml:space="preserve">         销售费用</t>
  </si>
  <si>
    <t xml:space="preserve">         管理费用</t>
  </si>
  <si>
    <t xml:space="preserve">         研发费用</t>
  </si>
  <si>
    <t xml:space="preserve">         财务费用</t>
  </si>
  <si>
    <t xml:space="preserve">         资产减值损失</t>
  </si>
  <si>
    <t>加：投资收益（损失以“－”号填列）</t>
  </si>
  <si>
    <t xml:space="preserve">      其中：对联营企业和合营企业的投资收益</t>
  </si>
  <si>
    <t xml:space="preserve">      资产处置收益（损失以“－”号填列）</t>
  </si>
  <si>
    <t xml:space="preserve">      其他收益（损失以“－”号填列）</t>
  </si>
  <si>
    <t>三、营业利润（亏损以“－”号填列）</t>
  </si>
  <si>
    <t>加：营业外收入</t>
  </si>
  <si>
    <t>减：营业外支出</t>
  </si>
  <si>
    <t>四、利润总额（亏损总额以“－”号填列）</t>
  </si>
  <si>
    <t>减：所得税费用</t>
  </si>
  <si>
    <t>五、净利润（净亏损以“－”号填列）</t>
  </si>
  <si>
    <t>（一）持续经营净利润（净亏损以“－”号填列）</t>
  </si>
  <si>
    <t>（二）终止经营净利润（净亏损以“－”号填列）</t>
  </si>
  <si>
    <t>少数股东损益</t>
  </si>
  <si>
    <t>归属于母公司所有者的净利润</t>
  </si>
  <si>
    <t>分红</t>
  </si>
  <si>
    <t>分红后留存利润</t>
  </si>
  <si>
    <t>六、其他综合收益的税后净额</t>
  </si>
  <si>
    <t>归属母公司所有者的其他综合收益的税后净额</t>
  </si>
  <si>
    <t>归属于少数股东的其他综合收益的税后净额</t>
  </si>
  <si>
    <t>七、综合收益总额</t>
  </si>
  <si>
    <t>归属于母公司所有者的综合收益总额</t>
  </si>
  <si>
    <t>归属于少数股东的综合收益总额</t>
  </si>
  <si>
    <t>八、每股收益：</t>
  </si>
  <si>
    <t>（一）摊薄每股收益</t>
  </si>
  <si>
    <t>Weighted average number of ADS outstanding—diluted(in thousands)</t>
  </si>
  <si>
    <t>净利率</t>
  </si>
  <si>
    <t>ROE检验</t>
  </si>
  <si>
    <t>营收增速</t>
  </si>
  <si>
    <t>净利润增速</t>
  </si>
  <si>
    <t>2015H</t>
  </si>
  <si>
    <t>2016H</t>
  </si>
  <si>
    <t>2017H</t>
  </si>
  <si>
    <t>资产：</t>
  </si>
  <si>
    <t>货币资金</t>
  </si>
  <si>
    <t>应收票据</t>
  </si>
  <si>
    <t>应收账款</t>
  </si>
  <si>
    <t>预付款项</t>
  </si>
  <si>
    <t>其他应收款</t>
  </si>
  <si>
    <t>存货</t>
  </si>
  <si>
    <t>其他流动资产</t>
  </si>
  <si>
    <t>流动资产合计</t>
  </si>
  <si>
    <t>可供出售金融资产</t>
  </si>
  <si>
    <t>长期股权投资</t>
  </si>
  <si>
    <t>投资性房地产</t>
  </si>
  <si>
    <t>固定资产</t>
  </si>
  <si>
    <t>生产性生物资产</t>
  </si>
  <si>
    <t>无形资产</t>
  </si>
  <si>
    <t>商誉</t>
  </si>
  <si>
    <t>长期待摊费用</t>
  </si>
  <si>
    <t>递延所得税资产</t>
  </si>
  <si>
    <t>其他非流动资产</t>
  </si>
  <si>
    <t>非流动资产合计</t>
  </si>
  <si>
    <t>资产合计</t>
  </si>
  <si>
    <t>负债：</t>
  </si>
  <si>
    <t>短期借款</t>
  </si>
  <si>
    <t>应付票据</t>
  </si>
  <si>
    <t>应付账款</t>
  </si>
  <si>
    <t>预收款项</t>
  </si>
  <si>
    <t>应付职工薪酬</t>
  </si>
  <si>
    <t>应交税费</t>
  </si>
  <si>
    <t>其他应付款</t>
  </si>
  <si>
    <t>其他流动负债</t>
  </si>
  <si>
    <t>流动负债合计</t>
  </si>
  <si>
    <t>长期借款</t>
  </si>
  <si>
    <t>预计负债</t>
  </si>
  <si>
    <t>非流动负债合计</t>
  </si>
  <si>
    <t>负债合计</t>
  </si>
  <si>
    <t>所有者权益：</t>
  </si>
  <si>
    <t>股本</t>
  </si>
  <si>
    <t>储备</t>
  </si>
  <si>
    <t>少数股东权益</t>
  </si>
  <si>
    <t>所有者权益合计</t>
  </si>
  <si>
    <t>负债和所有者权益合计</t>
  </si>
  <si>
    <t>平衡测试</t>
  </si>
  <si>
    <t>运营资本测算</t>
  </si>
  <si>
    <t>资产负债率</t>
  </si>
  <si>
    <t>1、经营活动产生的现金流量：</t>
  </si>
  <si>
    <t>调整项:</t>
  </si>
  <si>
    <t>资产减值准备</t>
  </si>
  <si>
    <t>处置固定资产、无形资产和其他长期资产的损失（收益以“－”号填列）</t>
  </si>
  <si>
    <t>固定资产报废损失（收益以“－”号填列）</t>
  </si>
  <si>
    <t>公允价值变动损失（收益以“－”号填列）</t>
  </si>
  <si>
    <t>财务费用（收益以“－”号填列）</t>
  </si>
  <si>
    <t>投资损失（收益以“－”号填列）</t>
  </si>
  <si>
    <t>递延所得税资产减少（增加以“－”号填列）</t>
  </si>
  <si>
    <t>递延所得税负债增加（减少以“－”号填列）</t>
  </si>
  <si>
    <t>存货的减少（增加以“－”号填列）</t>
  </si>
  <si>
    <t>经营性应收项目的减少（增加以“－”号填列）</t>
  </si>
  <si>
    <t>经营性应付项目的增加（减少以“－”号填列）</t>
  </si>
  <si>
    <t>其他</t>
  </si>
  <si>
    <t>经营活动产生的现金流量净额</t>
  </si>
  <si>
    <t>2、投资活动产生的现金流量：</t>
  </si>
  <si>
    <t>收回投资收到的现金</t>
  </si>
  <si>
    <t>取得投资收益收到的现金</t>
  </si>
  <si>
    <t>投资支付的现金</t>
  </si>
  <si>
    <t>购建固定资产、无形资产和其他长期资产支付的现金</t>
  </si>
  <si>
    <t>处置固定资产、无形资产和其他长期资产收回的现金净额</t>
  </si>
  <si>
    <t>处置子公司及其他营业单位收到的现金净额</t>
  </si>
  <si>
    <t>取得子公司及其他营业单位支付的现金净额</t>
  </si>
  <si>
    <t>收到其他与投资活动有关的现金</t>
  </si>
  <si>
    <t>支付其他与投资活动有关的现金</t>
  </si>
  <si>
    <t>投资活动产生的现金流量净额</t>
  </si>
  <si>
    <t>3、融资活动产生的现金流量：</t>
  </si>
  <si>
    <t>吸收投资收到的现金</t>
  </si>
  <si>
    <t>其中：子公司吸收少数股东投资收到的现金</t>
  </si>
  <si>
    <t>取得借款收到的现金</t>
  </si>
  <si>
    <t>偿还债务支付的现金</t>
  </si>
  <si>
    <t>发行债券收到的现金</t>
  </si>
  <si>
    <t>收到其他与筹资活动有关的现金</t>
  </si>
  <si>
    <t>分配股利、利润或偿付利息支付的现金</t>
  </si>
  <si>
    <t>其中：子公司支付给少数股东的股利、利润</t>
  </si>
  <si>
    <t>支付其他与筹资活动有关的现金</t>
  </si>
  <si>
    <t>融资活动产生的现金流量净额</t>
  </si>
  <si>
    <t>汇率变动对现金及现金等价物的影响</t>
  </si>
  <si>
    <t xml:space="preserve">       期初现金及现金等价物余额</t>
  </si>
  <si>
    <t xml:space="preserve">       期末现金及现金等价物余额</t>
  </si>
  <si>
    <t>4、借款循环假设：</t>
  </si>
  <si>
    <t>（1）长期借款假设</t>
  </si>
  <si>
    <t>期初余额</t>
  </si>
  <si>
    <t>当期增加/(减少)</t>
  </si>
  <si>
    <t>期末余额</t>
  </si>
  <si>
    <t>长期贷款利息费用</t>
  </si>
  <si>
    <t>（2）短期借款假设</t>
  </si>
  <si>
    <t>期初现金余额</t>
  </si>
  <si>
    <t>当期现金流量</t>
  </si>
  <si>
    <t>＋经营活动产生的现金流量</t>
  </si>
  <si>
    <t>＋投资活动产生的现金流量</t>
  </si>
  <si>
    <t>＋计入循环贷款前融资活动产生的现金流量</t>
  </si>
  <si>
    <t>-最低现金余额</t>
  </si>
  <si>
    <t>现金剩余/(缺口）</t>
  </si>
  <si>
    <t>短期贷款实际需求</t>
  </si>
  <si>
    <t>短期贷款期末余额</t>
  </si>
  <si>
    <t>短期贷款期初余额</t>
  </si>
  <si>
    <t>短期贷款的增加/(减少)</t>
  </si>
  <si>
    <t>短期贷款利息费用</t>
  </si>
  <si>
    <t>利息费用合计</t>
  </si>
  <si>
    <t>（3）现金测算</t>
  </si>
  <si>
    <t>利息收入</t>
  </si>
  <si>
    <t>财务费用</t>
  </si>
  <si>
    <t>加：所得税</t>
  </si>
  <si>
    <t>加：财务费用</t>
  </si>
  <si>
    <t>息税前利润（EBIT）</t>
  </si>
  <si>
    <t>同比变化（%）</t>
  </si>
  <si>
    <t>减：所得税（Taxes on EBIT）</t>
  </si>
  <si>
    <t>税后经营利润 (NOPAT)</t>
  </si>
  <si>
    <t>加：折旧</t>
  </si>
  <si>
    <t>加：摊销</t>
  </si>
  <si>
    <t>减：营运资本的增加（加：减少）</t>
  </si>
  <si>
    <t>减：资本性支出</t>
  </si>
  <si>
    <t xml:space="preserve">企业自由现金流量 </t>
  </si>
  <si>
    <t>2024E</t>
  </si>
  <si>
    <t>2025E</t>
  </si>
  <si>
    <t>2026E</t>
  </si>
  <si>
    <t>2027E</t>
  </si>
  <si>
    <t>2028E</t>
  </si>
  <si>
    <t>2029E</t>
  </si>
  <si>
    <t>2030E</t>
  </si>
  <si>
    <t>企业自由现金流量 （中期预测）</t>
  </si>
  <si>
    <t>参数假设</t>
  </si>
  <si>
    <t>适用折现率：</t>
  </si>
  <si>
    <t>最新日期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</si>
  <si>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</si>
  <si>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</si>
  <si>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</si>
  <si>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</si>
  <si>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</si>
  <si>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</si>
  <si>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股票代码</t>
  </si>
  <si>
    <t>股票名称</t>
  </si>
  <si>
    <t>目标资本结构</t>
  </si>
  <si>
    <t>折现过程及结果</t>
  </si>
  <si>
    <r>
      <rPr>
        <sz val="11"/>
        <rFont val="微软雅黑"/>
        <family val="2"/>
        <charset val="134"/>
      </rPr>
      <t>折现系数1/(1+k)</t>
    </r>
    <r>
      <rPr>
        <vertAlign val="superscript"/>
        <sz val="11"/>
        <rFont val="微软雅黑"/>
        <family val="2"/>
        <charset val="134"/>
      </rPr>
      <t xml:space="preserve">t </t>
    </r>
  </si>
  <si>
    <t>预测期（2019-2023）自由现金流量现值</t>
  </si>
  <si>
    <t>预测期（2024-2031）自由现金流量现值</t>
  </si>
  <si>
    <t>预测期自由现金流量总计（亿元）</t>
  </si>
  <si>
    <t>永续期自由现金流量总计（亿元）</t>
  </si>
  <si>
    <t>企业价值（亿元）</t>
  </si>
  <si>
    <t>减净负债（亿元）</t>
  </si>
  <si>
    <t>减少数股东权益（亿元）</t>
  </si>
  <si>
    <t>归属母公司的股权价值合计（亿元）</t>
  </si>
  <si>
    <t>当前市值（亿元）</t>
  </si>
  <si>
    <t>DCF估值对应股价（元）</t>
  </si>
  <si>
    <t>当前股价（元）</t>
  </si>
  <si>
    <t>敏感性分析</t>
  </si>
  <si>
    <t>WACC/g</t>
  </si>
  <si>
    <t>估值参数</t>
  </si>
  <si>
    <t>估值结果</t>
  </si>
  <si>
    <t>企业价值</t>
  </si>
  <si>
    <t>亿元</t>
  </si>
  <si>
    <t>减净负债</t>
  </si>
  <si>
    <t>减少数股东权益</t>
  </si>
  <si>
    <t>归属母公司权益价值</t>
  </si>
  <si>
    <t>DCF估值对应股价</t>
  </si>
  <si>
    <t>元</t>
  </si>
  <si>
    <t>当前股价</t>
  </si>
  <si>
    <t>一年内到期的非流动资产</t>
    <phoneticPr fontId="39" type="noConversion"/>
  </si>
  <si>
    <t>年末日期</t>
    <phoneticPr fontId="39" type="noConversion"/>
  </si>
  <si>
    <t>分产品</t>
    <phoneticPr fontId="39" type="noConversion"/>
  </si>
  <si>
    <t>2013A</t>
  </si>
  <si>
    <t>2013-12-31</t>
  </si>
  <si>
    <t>2017-03-31</t>
  </si>
  <si>
    <t>2017-09-30</t>
  </si>
  <si>
    <t xml:space="preserve">      公允价值变动净收益</t>
    <phoneticPr fontId="39" type="noConversion"/>
  </si>
  <si>
    <t xml:space="preserve">      汇兑收益（损失以“-”号填列）</t>
    <phoneticPr fontId="39" type="noConversion"/>
  </si>
  <si>
    <t>交易性金融资产</t>
    <phoneticPr fontId="39" type="noConversion"/>
  </si>
  <si>
    <t>长期应收款</t>
    <phoneticPr fontId="39" type="noConversion"/>
  </si>
  <si>
    <t>交易性金融负债</t>
    <phoneticPr fontId="39" type="noConversion"/>
  </si>
  <si>
    <t>一年内到期的非流动负债</t>
    <phoneticPr fontId="39" type="noConversion"/>
  </si>
  <si>
    <t>长期应付款</t>
    <phoneticPr fontId="39" type="noConversion"/>
  </si>
  <si>
    <t>递延所得税负债</t>
    <phoneticPr fontId="39" type="noConversion"/>
  </si>
  <si>
    <t>固定资产折旧、投资性房地产折旧、生产性生物资产折旧</t>
    <phoneticPr fontId="39" type="noConversion"/>
  </si>
  <si>
    <t>建模机构：</t>
  </si>
  <si>
    <t>建模标的：</t>
  </si>
  <si>
    <t>建模日期：</t>
  </si>
  <si>
    <t>证券代码：</t>
  </si>
  <si>
    <t>建模人员：</t>
  </si>
  <si>
    <t>行业：</t>
  </si>
  <si>
    <t>估值结果（元/股）：</t>
  </si>
  <si>
    <t>现价（元/股）：</t>
  </si>
  <si>
    <t>企业价值(亿元）：</t>
  </si>
  <si>
    <t>溢价率：</t>
  </si>
  <si>
    <t>本模型有效期：</t>
  </si>
  <si>
    <t>本模型适应人员：</t>
  </si>
  <si>
    <t>基金经理、权益投资机构、高净值价值投资者</t>
  </si>
  <si>
    <t>免责声明</t>
  </si>
  <si>
    <t>本文的信息来源于已公开资料，本人对该等信息的准确性、完整性或可靠性不作任何保证。在任何情况下，本模型中的结果或所表达的意见均不构成对任何人的投资建议，在任何情况下，本公司、本公司员工或关联机构不承诺任何投资收益保证，不与投资者分项任何投资收益，也不对任何人因使用本模型所带来的任何后果负任何责任。投资者务必注意，据此模型做出的任何投资行为均与本公司、本公司员工或关联机构无关。用户须依靠自己的判断作出决策，风险自负。</t>
  </si>
  <si>
    <t>大简</t>
    <phoneticPr fontId="39" type="noConversion"/>
  </si>
  <si>
    <t>珠江钢琴估值模型</t>
    <phoneticPr fontId="39" type="noConversion"/>
  </si>
  <si>
    <t>紫色</t>
    <phoneticPr fontId="39" type="noConversion"/>
  </si>
  <si>
    <t>蓝色</t>
    <phoneticPr fontId="39" type="noConversion"/>
  </si>
  <si>
    <t>绿色</t>
    <phoneticPr fontId="39" type="noConversion"/>
  </si>
  <si>
    <r>
      <t xml:space="preserve">       </t>
    </r>
    <r>
      <rPr>
        <sz val="9"/>
        <color theme="1"/>
        <rFont val="宋体"/>
        <family val="3"/>
        <charset val="134"/>
      </rPr>
      <t>各系列钢琴</t>
    </r>
    <phoneticPr fontId="39" type="noConversion"/>
  </si>
  <si>
    <r>
      <t xml:space="preserve">        </t>
    </r>
    <r>
      <rPr>
        <sz val="9"/>
        <color theme="1"/>
        <rFont val="宋体"/>
        <family val="3"/>
        <charset val="134"/>
      </rPr>
      <t>教育培训、传媒及其它</t>
    </r>
    <phoneticPr fontId="39" type="noConversion"/>
  </si>
  <si>
    <r>
      <t xml:space="preserve">        </t>
    </r>
    <r>
      <rPr>
        <sz val="9"/>
        <color theme="1"/>
        <rFont val="宋体"/>
        <family val="3"/>
        <charset val="134"/>
      </rPr>
      <t>数码钢琴及其他</t>
    </r>
    <phoneticPr fontId="39" type="noConversion"/>
  </si>
  <si>
    <r>
      <t xml:space="preserve">        </t>
    </r>
    <r>
      <rPr>
        <sz val="9"/>
        <color theme="1"/>
        <rFont val="宋体"/>
        <family val="3"/>
        <charset val="134"/>
      </rPr>
      <t>文化服务业</t>
    </r>
    <phoneticPr fontId="39" type="noConversion"/>
  </si>
  <si>
    <r>
      <t xml:space="preserve">        </t>
    </r>
    <r>
      <rPr>
        <sz val="9"/>
        <color theme="1"/>
        <rFont val="宋体"/>
        <family val="3"/>
        <charset val="134"/>
      </rPr>
      <t>其他业务</t>
    </r>
    <phoneticPr fontId="39" type="noConversion"/>
  </si>
  <si>
    <r>
      <rPr>
        <b/>
        <sz val="9"/>
        <color theme="1"/>
        <rFont val="宋体"/>
        <family val="3"/>
        <charset val="134"/>
      </rPr>
      <t>利润表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百万元</t>
    </r>
    <r>
      <rPr>
        <b/>
        <sz val="9"/>
        <color theme="1"/>
        <rFont val="Arial"/>
        <family val="2"/>
      </rPr>
      <t>)</t>
    </r>
    <phoneticPr fontId="39" type="noConversion"/>
  </si>
  <si>
    <r>
      <t xml:space="preserve">        </t>
    </r>
    <r>
      <rPr>
        <sz val="9"/>
        <color theme="1"/>
        <rFont val="宋体"/>
        <family val="3"/>
        <charset val="134"/>
      </rPr>
      <t>各系列钢琴</t>
    </r>
    <phoneticPr fontId="39" type="noConversion"/>
  </si>
  <si>
    <t>4、股本假设(百万股)</t>
    <phoneticPr fontId="39" type="noConversion"/>
  </si>
  <si>
    <t>珠江钢琴未来市场规模预测</t>
    <phoneticPr fontId="39" type="noConversion"/>
  </si>
  <si>
    <t>2027E</t>
    <phoneticPr fontId="39" type="noConversion"/>
  </si>
  <si>
    <t>总人口（万）</t>
  </si>
  <si>
    <t>城镇人口（万）</t>
  </si>
  <si>
    <t>城镇化率</t>
  </si>
  <si>
    <t>城镇户均人数（个）</t>
    <phoneticPr fontId="39" type="noConversion"/>
  </si>
  <si>
    <t>城镇家庭数（万）</t>
  </si>
  <si>
    <t>城镇居民平均每百户钢琴拥有量（架/百户）</t>
  </si>
  <si>
    <t>CAGR=12.89%</t>
    <phoneticPr fontId="39" type="noConversion"/>
  </si>
  <si>
    <t>预计中国钢琴年化提价</t>
    <phoneticPr fontId="39" type="noConversion"/>
  </si>
  <si>
    <t>CAGR=3.00%</t>
    <phoneticPr fontId="39" type="noConversion"/>
  </si>
  <si>
    <t>珠江钢琴市场占有率</t>
    <phoneticPr fontId="39" type="noConversion"/>
  </si>
  <si>
    <t>CAGR=2.31%</t>
    <phoneticPr fontId="39" type="noConversion"/>
  </si>
  <si>
    <t>珠江钢琴销售收入（亿元）</t>
    <phoneticPr fontId="39" type="noConversion"/>
  </si>
  <si>
    <t>CAGR=18.96%</t>
    <phoneticPr fontId="39" type="noConversion"/>
  </si>
  <si>
    <t>数据来源：国家卫计委、国家统计局、中国乐器协会</t>
    <phoneticPr fontId="39" type="noConversion"/>
  </si>
  <si>
    <t>城镇家庭钢琴拥有量（万架）</t>
    <phoneticPr fontId="39" type="noConversion"/>
  </si>
  <si>
    <r>
      <rPr>
        <b/>
        <sz val="9"/>
        <color theme="1"/>
        <rFont val="宋体"/>
        <family val="3"/>
        <charset val="134"/>
      </rPr>
      <t>现金流量表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百万元</t>
    </r>
    <r>
      <rPr>
        <b/>
        <sz val="9"/>
        <color theme="1"/>
        <rFont val="Arial"/>
        <family val="2"/>
      </rPr>
      <t>)</t>
    </r>
    <phoneticPr fontId="39" type="noConversion"/>
  </si>
  <si>
    <t>资产负债科目周转率假设（百万元）</t>
    <phoneticPr fontId="39" type="noConversion"/>
  </si>
  <si>
    <t>权益科目假设（百万元）</t>
    <phoneticPr fontId="39" type="noConversion"/>
  </si>
  <si>
    <t>年结日：12月31日&amp;单位：百万元</t>
    <phoneticPr fontId="39" type="noConversion"/>
  </si>
  <si>
    <t>单位：百万元</t>
    <phoneticPr fontId="39" type="noConversion"/>
  </si>
  <si>
    <t>（二）稀释每股收益</t>
    <phoneticPr fontId="39" type="noConversion"/>
  </si>
  <si>
    <r>
      <rPr>
        <sz val="9"/>
        <color theme="1"/>
        <rFont val="宋体"/>
        <family val="3"/>
        <charset val="134"/>
      </rPr>
      <t>　　递延收益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非流动负债</t>
    </r>
    <phoneticPr fontId="39" type="noConversion"/>
  </si>
  <si>
    <t>递延收益-非流动负债</t>
    <phoneticPr fontId="39" type="noConversion"/>
  </si>
  <si>
    <t>长期应付职工薪酬</t>
    <phoneticPr fontId="39" type="noConversion"/>
  </si>
  <si>
    <t>2031E</t>
  </si>
  <si>
    <t>2032E</t>
  </si>
  <si>
    <t>2033E</t>
  </si>
  <si>
    <t>002678.SZ</t>
    <phoneticPr fontId="39" type="noConversion"/>
  </si>
  <si>
    <t>珠江钢琴</t>
    <phoneticPr fontId="39" type="noConversion"/>
  </si>
  <si>
    <t>资本开支汇总</t>
    <phoneticPr fontId="39" type="noConversion"/>
  </si>
  <si>
    <r>
      <rPr>
        <b/>
        <sz val="9"/>
        <color theme="1"/>
        <rFont val="宋体"/>
        <family val="3"/>
        <charset val="134"/>
      </rPr>
      <t>利润表-单季度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百万元</t>
    </r>
    <r>
      <rPr>
        <b/>
        <sz val="9"/>
        <color theme="1"/>
        <rFont val="Arial"/>
        <family val="2"/>
      </rPr>
      <t>)</t>
    </r>
    <phoneticPr fontId="39" type="noConversion"/>
  </si>
  <si>
    <r>
      <rPr>
        <b/>
        <sz val="9"/>
        <color theme="1"/>
        <rFont val="宋体"/>
        <family val="3"/>
        <charset val="134"/>
      </rPr>
      <t>资产负债表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百万元</t>
    </r>
    <r>
      <rPr>
        <b/>
        <sz val="9"/>
        <color theme="1"/>
        <rFont val="Arial"/>
        <family val="2"/>
      </rPr>
      <t>)</t>
    </r>
    <phoneticPr fontId="39" type="noConversion"/>
  </si>
  <si>
    <r>
      <rPr>
        <b/>
        <sz val="9"/>
        <color theme="1"/>
        <rFont val="宋体"/>
        <family val="3"/>
        <charset val="134"/>
      </rPr>
      <t>业务模型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百万元</t>
    </r>
    <r>
      <rPr>
        <b/>
        <sz val="9"/>
        <color theme="1"/>
        <rFont val="Arial"/>
        <family val="2"/>
      </rPr>
      <t>)</t>
    </r>
    <phoneticPr fontId="39" type="noConversion"/>
  </si>
  <si>
    <t>2020/1/21-2020/6/30</t>
    <phoneticPr fontId="39" type="noConversion"/>
  </si>
  <si>
    <t>乐器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</si>
</sst>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* #,##0.00_);_(* \(#,##0.00\);_(* &quot;-&quot;??_);_(@_)"/>
    <numFmt numFmtId="177" formatCode="#,##0.0_);\(#,##0.0\)"/>
    <numFmt numFmtId="178" formatCode="[Blue]#,##0.00;[Red]\-#,##0.00"/>
    <numFmt numFmtId="179" formatCode="_-* #,##0_-;\-* #,##0_-;_-* &quot;-&quot;_-;_-@_-"/>
    <numFmt numFmtId="180" formatCode="yyyy\ &quot;年&quot;"/>
    <numFmt numFmtId="181" formatCode="[Blue]#,##0;[Red]\-#,##0"/>
    <numFmt numFmtId="182" formatCode="_ * #,##0_ ;_ * \-#,##0_ ;_ * &quot;-&quot;??_ ;_ @_ "/>
    <numFmt numFmtId="183" formatCode="yyyy\-mm\-dd"/>
    <numFmt numFmtId="184" formatCode="###,##0.00_ "/>
    <numFmt numFmtId="185" formatCode="_-* #,##0.00_-;\-* #,##0.00_-;_-* &quot;-&quot;_-;_-@_-"/>
    <numFmt numFmtId="186" formatCode="###,###,##0.0000"/>
    <numFmt numFmtId="187" formatCode="###,##0_ "/>
    <numFmt numFmtId="188" formatCode="0.0%"/>
    <numFmt numFmtId="189" formatCode="0.00_ "/>
    <numFmt numFmtId="190" formatCode="#,##0.00_);[Red]\(#,##0.00\)"/>
  </numFmts>
  <fonts count="50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color indexed="9"/>
      <name val="宋体"/>
      <family val="3"/>
      <charset val="134"/>
    </font>
    <font>
      <b/>
      <sz val="11"/>
      <name val="Arial"/>
      <family val="2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u/>
      <sz val="11"/>
      <color theme="0"/>
      <name val="微软雅黑"/>
      <family val="2"/>
      <charset val="134"/>
    </font>
    <font>
      <sz val="10"/>
      <name val="Arial"/>
      <family val="2"/>
    </font>
    <font>
      <b/>
      <sz val="16"/>
      <color indexed="9"/>
      <name val="宋体"/>
      <family val="3"/>
      <charset val="134"/>
    </font>
    <font>
      <b/>
      <sz val="10"/>
      <name val="Arial"/>
      <family val="2"/>
    </font>
    <font>
      <b/>
      <sz val="12"/>
      <color indexed="9"/>
      <name val="宋体"/>
      <family val="3"/>
      <charset val="134"/>
    </font>
    <font>
      <sz val="10"/>
      <name val="微软雅黑"/>
      <family val="2"/>
      <charset val="134"/>
    </font>
    <font>
      <u/>
      <sz val="12"/>
      <color theme="0"/>
      <name val="微软雅黑"/>
      <family val="2"/>
      <charset val="134"/>
    </font>
    <font>
      <u/>
      <sz val="12"/>
      <color theme="0"/>
      <name val="宋体"/>
      <family val="3"/>
      <charset val="134"/>
    </font>
    <font>
      <b/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8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vertAlign val="subscript"/>
      <sz val="10"/>
      <name val="Arial"/>
      <family val="2"/>
    </font>
    <font>
      <vertAlign val="superscript"/>
      <sz val="1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6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9"/>
      <color theme="1"/>
      <name val="Arial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rgb="FF004E9D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CF4F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4E9D"/>
      </left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 style="thin">
        <color rgb="FF004E9D"/>
      </top>
      <bottom/>
      <diagonal/>
    </border>
    <border>
      <left style="thin">
        <color rgb="FF004E9D"/>
      </left>
      <right/>
      <top style="thin">
        <color rgb="FF004E9D"/>
      </top>
      <bottom style="thin">
        <color rgb="FF004E9D"/>
      </bottom>
      <diagonal/>
    </border>
    <border>
      <left/>
      <right/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/>
      <top style="thin">
        <color rgb="FF004E9D"/>
      </top>
      <bottom/>
      <diagonal/>
    </border>
    <border>
      <left/>
      <right/>
      <top style="thin">
        <color rgb="FF004E9D"/>
      </top>
      <bottom/>
      <diagonal/>
    </border>
    <border>
      <left style="thin">
        <color rgb="FF004E9D"/>
      </left>
      <right/>
      <top/>
      <bottom/>
      <diagonal/>
    </border>
    <border>
      <left style="thin">
        <color rgb="FF004E9D"/>
      </left>
      <right/>
      <top/>
      <bottom style="thin">
        <color rgb="FF004E9D"/>
      </bottom>
      <diagonal/>
    </border>
    <border>
      <left/>
      <right/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/>
      <diagonal/>
    </border>
    <border>
      <left/>
      <right style="thin">
        <color rgb="FF004E9D"/>
      </right>
      <top/>
      <bottom/>
      <diagonal/>
    </border>
    <border>
      <left/>
      <right style="thin">
        <color rgb="FF004E9D"/>
      </right>
      <top/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179" fontId="32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0" fontId="25" fillId="0" borderId="0">
      <alignment horizontal="right"/>
    </xf>
    <xf numFmtId="0" fontId="33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0" borderId="0"/>
    <xf numFmtId="2" fontId="35" fillId="0" borderId="0"/>
    <xf numFmtId="0" fontId="8" fillId="0" borderId="0">
      <alignment vertical="top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8" fillId="0" borderId="0"/>
    <xf numFmtId="0" fontId="25" fillId="0" borderId="0"/>
    <xf numFmtId="0" fontId="25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</cellStyleXfs>
  <cellXfs count="485">
    <xf numFmtId="0" fontId="0" fillId="0" borderId="0" xfId="0"/>
    <xf numFmtId="0" fontId="1" fillId="0" borderId="0" xfId="18" applyFont="1" applyFill="1"/>
    <xf numFmtId="0" fontId="2" fillId="0" borderId="0" xfId="18" applyFont="1" applyFill="1" applyBorder="1" applyAlignment="1">
      <alignment horizontal="left" vertical="center" indent="1"/>
    </xf>
    <xf numFmtId="177" fontId="1" fillId="0" borderId="0" xfId="18" applyNumberFormat="1" applyFont="1" applyFill="1"/>
    <xf numFmtId="180" fontId="1" fillId="0" borderId="0" xfId="18" applyNumberFormat="1" applyFont="1" applyFill="1" applyBorder="1" applyAlignment="1">
      <alignment horizontal="center"/>
    </xf>
    <xf numFmtId="10" fontId="4" fillId="0" borderId="1" xfId="5" applyNumberFormat="1" applyFont="1" applyBorder="1" applyAlignment="1">
      <alignment horizontal="right" vertical="center"/>
    </xf>
    <xf numFmtId="0" fontId="8" fillId="0" borderId="0" xfId="18" applyFont="1" applyFill="1"/>
    <xf numFmtId="0" fontId="11" fillId="0" borderId="0" xfId="18" applyFont="1" applyFill="1" applyBorder="1" applyAlignment="1">
      <alignment horizontal="left" vertical="center" indent="1"/>
    </xf>
    <xf numFmtId="177" fontId="8" fillId="0" borderId="0" xfId="18" applyNumberFormat="1" applyFont="1" applyFill="1"/>
    <xf numFmtId="180" fontId="8" fillId="0" borderId="0" xfId="18" applyNumberFormat="1" applyFont="1" applyFill="1" applyBorder="1" applyAlignment="1">
      <alignment horizontal="center"/>
    </xf>
    <xf numFmtId="176" fontId="4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center" vertical="center"/>
    </xf>
    <xf numFmtId="0" fontId="14" fillId="0" borderId="0" xfId="4" applyFont="1" applyFill="1" applyBorder="1" applyAlignment="1" applyProtection="1">
      <alignment horizontal="left" vertical="center"/>
    </xf>
    <xf numFmtId="0" fontId="0" fillId="0" borderId="0" xfId="0" applyFill="1"/>
    <xf numFmtId="0" fontId="8" fillId="0" borderId="0" xfId="18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18" applyFont="1" applyFill="1" applyBorder="1" applyAlignment="1">
      <alignment horizontal="left" vertical="center"/>
    </xf>
    <xf numFmtId="177" fontId="8" fillId="0" borderId="0" xfId="18" applyNumberFormat="1" applyFont="1" applyFill="1" applyAlignment="1">
      <alignment vertical="center"/>
    </xf>
    <xf numFmtId="180" fontId="8" fillId="0" borderId="0" xfId="1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82" fontId="6" fillId="0" borderId="1" xfId="2" applyNumberFormat="1" applyFont="1" applyFill="1" applyBorder="1" applyAlignment="1">
      <alignment vertical="center"/>
    </xf>
    <xf numFmtId="10" fontId="6" fillId="0" borderId="1" xfId="5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0" fontId="6" fillId="0" borderId="0" xfId="5" applyNumberFormat="1" applyFont="1" applyFill="1" applyBorder="1" applyAlignment="1">
      <alignment vertical="center"/>
    </xf>
    <xf numFmtId="182" fontId="6" fillId="0" borderId="1" xfId="2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6" fillId="0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vertical="center"/>
    </xf>
    <xf numFmtId="14" fontId="6" fillId="6" borderId="1" xfId="0" applyNumberFormat="1" applyFont="1" applyFill="1" applyBorder="1" applyAlignment="1">
      <alignment vertical="center"/>
    </xf>
    <xf numFmtId="14" fontId="4" fillId="7" borderId="1" xfId="0" applyNumberFormat="1" applyFont="1" applyFill="1" applyBorder="1" applyAlignment="1">
      <alignment vertical="center"/>
    </xf>
    <xf numFmtId="10" fontId="6" fillId="6" borderId="1" xfId="5" applyNumberFormat="1" applyFont="1" applyFill="1" applyBorder="1" applyAlignment="1">
      <alignment vertical="center"/>
    </xf>
    <xf numFmtId="10" fontId="6" fillId="6" borderId="1" xfId="3" applyNumberFormat="1" applyFont="1" applyFill="1" applyBorder="1" applyAlignment="1">
      <alignment horizontal="right" vertical="center"/>
    </xf>
    <xf numFmtId="10" fontId="6" fillId="0" borderId="1" xfId="3" applyNumberFormat="1" applyFont="1" applyFill="1" applyBorder="1" applyAlignment="1">
      <alignment horizontal="right" vertical="center"/>
    </xf>
    <xf numFmtId="0" fontId="4" fillId="0" borderId="1" xfId="17" applyFont="1" applyBorder="1" applyAlignment="1">
      <alignment horizontal="left" vertical="center"/>
    </xf>
    <xf numFmtId="186" fontId="6" fillId="6" borderId="1" xfId="2" applyNumberFormat="1" applyFont="1" applyFill="1" applyBorder="1" applyAlignment="1">
      <alignment vertical="center"/>
    </xf>
    <xf numFmtId="186" fontId="6" fillId="0" borderId="1" xfId="0" applyNumberFormat="1" applyFont="1" applyFill="1" applyBorder="1" applyAlignment="1">
      <alignment vertical="center"/>
    </xf>
    <xf numFmtId="186" fontId="6" fillId="0" borderId="0" xfId="0" applyNumberFormat="1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176" fontId="6" fillId="0" borderId="1" xfId="21" applyFont="1" applyFill="1" applyBorder="1" applyAlignment="1">
      <alignment vertical="center"/>
    </xf>
    <xf numFmtId="182" fontId="6" fillId="0" borderId="0" xfId="2" applyNumberFormat="1" applyFont="1" applyFill="1" applyBorder="1" applyAlignment="1">
      <alignment vertical="center"/>
    </xf>
    <xf numFmtId="176" fontId="6" fillId="0" borderId="1" xfId="21" applyNumberFormat="1" applyFont="1" applyFill="1" applyBorder="1" applyAlignment="1">
      <alignment vertical="center"/>
    </xf>
    <xf numFmtId="182" fontId="6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88" fontId="6" fillId="6" borderId="1" xfId="5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18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18" applyFont="1" applyFill="1" applyBorder="1" applyAlignment="1">
      <alignment horizontal="left" vertical="center"/>
    </xf>
    <xf numFmtId="177" fontId="1" fillId="0" borderId="0" xfId="18" applyNumberFormat="1" applyFont="1" applyFill="1" applyAlignment="1">
      <alignment vertical="center"/>
    </xf>
    <xf numFmtId="0" fontId="4" fillId="3" borderId="1" xfId="0" applyNumberFormat="1" applyFont="1" applyFill="1" applyBorder="1" applyAlignment="1">
      <alignment horizontal="right" vertical="center"/>
    </xf>
    <xf numFmtId="185" fontId="15" fillId="8" borderId="1" xfId="1" applyNumberFormat="1" applyFont="1" applyFill="1" applyBorder="1" applyAlignment="1">
      <alignment vertical="center"/>
    </xf>
    <xf numFmtId="185" fontId="6" fillId="8" borderId="1" xfId="1" applyNumberFormat="1" applyFont="1" applyFill="1" applyBorder="1" applyAlignment="1">
      <alignment vertical="center"/>
    </xf>
    <xf numFmtId="182" fontId="4" fillId="0" borderId="1" xfId="2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85" fontId="6" fillId="0" borderId="1" xfId="1" applyNumberFormat="1" applyFont="1" applyFill="1" applyBorder="1" applyAlignment="1">
      <alignment horizontal="left" vertical="center"/>
    </xf>
    <xf numFmtId="180" fontId="1" fillId="0" borderId="0" xfId="18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82" fontId="4" fillId="0" borderId="0" xfId="2" applyNumberFormat="1" applyFont="1" applyFill="1" applyBorder="1" applyAlignment="1">
      <alignment vertical="center"/>
    </xf>
    <xf numFmtId="182" fontId="0" fillId="2" borderId="0" xfId="2" applyNumberFormat="1" applyFont="1" applyFill="1" applyAlignment="1">
      <alignment vertical="center"/>
    </xf>
    <xf numFmtId="185" fontId="6" fillId="0" borderId="1" xfId="1" applyNumberFormat="1" applyFont="1" applyFill="1" applyBorder="1" applyAlignment="1">
      <alignment vertical="center"/>
    </xf>
    <xf numFmtId="0" fontId="12" fillId="0" borderId="0" xfId="18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18" applyFont="1" applyFill="1" applyBorder="1" applyAlignment="1">
      <alignment horizontal="left" vertical="center"/>
    </xf>
    <xf numFmtId="176" fontId="12" fillId="0" borderId="0" xfId="2" applyFont="1" applyFill="1" applyAlignment="1">
      <alignment vertical="center"/>
    </xf>
    <xf numFmtId="188" fontId="12" fillId="0" borderId="0" xfId="5" applyNumberFormat="1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182" fontId="5" fillId="0" borderId="1" xfId="2" applyNumberFormat="1" applyFont="1" applyFill="1" applyBorder="1" applyAlignment="1">
      <alignment vertical="center"/>
    </xf>
    <xf numFmtId="9" fontId="5" fillId="0" borderId="1" xfId="5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82" fontId="4" fillId="0" borderId="1" xfId="2" applyNumberFormat="1" applyFont="1" applyBorder="1" applyAlignment="1">
      <alignment vertical="center"/>
    </xf>
    <xf numFmtId="10" fontId="4" fillId="0" borderId="1" xfId="5" applyNumberFormat="1" applyFont="1" applyFill="1" applyBorder="1" applyAlignment="1">
      <alignment vertical="center"/>
    </xf>
    <xf numFmtId="182" fontId="4" fillId="2" borderId="0" xfId="2" applyNumberFormat="1" applyFont="1" applyFill="1" applyAlignment="1">
      <alignment vertical="center"/>
    </xf>
    <xf numFmtId="182" fontId="4" fillId="0" borderId="0" xfId="2" applyNumberFormat="1" applyFont="1" applyAlignment="1">
      <alignment vertical="center"/>
    </xf>
    <xf numFmtId="180" fontId="12" fillId="0" borderId="0" xfId="18" applyNumberFormat="1" applyFont="1" applyFill="1" applyBorder="1" applyAlignment="1">
      <alignment horizontal="center" vertical="center"/>
    </xf>
    <xf numFmtId="182" fontId="5" fillId="2" borderId="0" xfId="2" applyNumberFormat="1" applyFont="1" applyFill="1" applyAlignment="1">
      <alignment vertical="center"/>
    </xf>
    <xf numFmtId="182" fontId="4" fillId="0" borderId="0" xfId="0" applyNumberFormat="1" applyFont="1" applyAlignment="1">
      <alignment vertical="center"/>
    </xf>
    <xf numFmtId="9" fontId="4" fillId="0" borderId="0" xfId="5" applyFont="1" applyAlignment="1">
      <alignment vertical="center"/>
    </xf>
    <xf numFmtId="0" fontId="6" fillId="0" borderId="0" xfId="18" applyFont="1" applyFill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18" applyFont="1" applyFill="1" applyBorder="1" applyAlignment="1">
      <alignment horizontal="left" vertical="center"/>
    </xf>
    <xf numFmtId="177" fontId="6" fillId="0" borderId="0" xfId="18" applyNumberFormat="1" applyFont="1" applyFill="1" applyAlignment="1">
      <alignment vertical="center"/>
    </xf>
    <xf numFmtId="0" fontId="15" fillId="0" borderId="1" xfId="0" applyFont="1" applyBorder="1" applyAlignment="1">
      <alignment vertical="center"/>
    </xf>
    <xf numFmtId="187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10" fontId="4" fillId="0" borderId="1" xfId="5" applyNumberFormat="1" applyFont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10" fontId="6" fillId="0" borderId="1" xfId="5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4" fontId="6" fillId="0" borderId="1" xfId="0" applyNumberFormat="1" applyFont="1" applyBorder="1" applyAlignment="1">
      <alignment vertical="center"/>
    </xf>
    <xf numFmtId="180" fontId="6" fillId="0" borderId="0" xfId="18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4" fillId="0" borderId="0" xfId="18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2" fontId="6" fillId="0" borderId="1" xfId="21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82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82" fontId="6" fillId="0" borderId="1" xfId="2" applyNumberFormat="1" applyFont="1" applyBorder="1" applyAlignment="1">
      <alignment vertical="center"/>
    </xf>
    <xf numFmtId="182" fontId="16" fillId="0" borderId="1" xfId="2" applyNumberFormat="1" applyFont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0" fontId="4" fillId="6" borderId="1" xfId="5" applyNumberFormat="1" applyFont="1" applyFill="1" applyBorder="1" applyAlignment="1">
      <alignment vertical="center"/>
    </xf>
    <xf numFmtId="182" fontId="4" fillId="0" borderId="1" xfId="21" applyNumberFormat="1" applyFont="1" applyBorder="1" applyAlignment="1">
      <alignment vertical="center"/>
    </xf>
    <xf numFmtId="10" fontId="6" fillId="0" borderId="1" xfId="7" applyNumberFormat="1" applyFont="1" applyBorder="1" applyAlignment="1">
      <alignment vertical="center"/>
    </xf>
    <xf numFmtId="182" fontId="6" fillId="6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82" fontId="4" fillId="0" borderId="0" xfId="2" applyNumberFormat="1" applyFont="1" applyFill="1" applyAlignment="1">
      <alignment vertical="center"/>
    </xf>
    <xf numFmtId="182" fontId="0" fillId="0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2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4" fillId="6" borderId="1" xfId="5" applyNumberFormat="1" applyFont="1" applyFill="1" applyBorder="1" applyAlignment="1">
      <alignment horizontal="center" vertical="center"/>
    </xf>
    <xf numFmtId="0" fontId="25" fillId="0" borderId="0" xfId="15">
      <alignment vertical="center"/>
    </xf>
    <xf numFmtId="178" fontId="27" fillId="10" borderId="16" xfId="15" applyNumberFormat="1" applyFont="1" applyFill="1" applyBorder="1" applyAlignment="1">
      <alignment horizontal="right" vertical="center"/>
    </xf>
    <xf numFmtId="178" fontId="27" fillId="0" borderId="0" xfId="15" applyNumberFormat="1" applyFont="1" applyAlignment="1">
      <alignment horizontal="right" vertical="center"/>
    </xf>
    <xf numFmtId="188" fontId="25" fillId="0" borderId="0" xfId="5" applyNumberFormat="1">
      <alignment vertical="center"/>
    </xf>
    <xf numFmtId="188" fontId="0" fillId="0" borderId="0" xfId="11" applyNumberFormat="1" applyFont="1">
      <alignment vertical="center"/>
    </xf>
    <xf numFmtId="188" fontId="25" fillId="0" borderId="0" xfId="15" applyNumberFormat="1">
      <alignment vertical="center"/>
    </xf>
    <xf numFmtId="178" fontId="27" fillId="10" borderId="16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178" fontId="27" fillId="10" borderId="0" xfId="15" applyNumberFormat="1" applyFont="1" applyFill="1" applyBorder="1" applyAlignment="1">
      <alignment horizontal="right" vertical="center"/>
    </xf>
    <xf numFmtId="178" fontId="27" fillId="6" borderId="0" xfId="15" applyNumberFormat="1" applyFont="1" applyFill="1" applyAlignment="1">
      <alignment horizontal="right" vertical="center"/>
    </xf>
    <xf numFmtId="188" fontId="27" fillId="0" borderId="0" xfId="11" applyNumberFormat="1" applyFont="1" applyAlignment="1">
      <alignment horizontal="right" vertical="center"/>
    </xf>
    <xf numFmtId="188" fontId="27" fillId="6" borderId="0" xfId="11" applyNumberFormat="1" applyFont="1" applyFill="1" applyAlignment="1">
      <alignment horizontal="right" vertical="center"/>
    </xf>
    <xf numFmtId="49" fontId="28" fillId="9" borderId="0" xfId="15" applyNumberFormat="1" applyFont="1" applyFill="1" applyBorder="1" applyAlignment="1">
      <alignment horizontal="left" vertical="center"/>
    </xf>
    <xf numFmtId="181" fontId="27" fillId="10" borderId="16" xfId="15" applyNumberFormat="1" applyFont="1" applyFill="1" applyBorder="1" applyAlignment="1">
      <alignment horizontal="right" vertical="center"/>
    </xf>
    <xf numFmtId="181" fontId="27" fillId="10" borderId="0" xfId="15" applyNumberFormat="1" applyFont="1" applyFill="1" applyBorder="1" applyAlignment="1">
      <alignment horizontal="right" vertical="center"/>
    </xf>
    <xf numFmtId="181" fontId="27" fillId="0" borderId="0" xfId="15" applyNumberFormat="1" applyFont="1" applyAlignment="1">
      <alignment horizontal="right" vertical="center"/>
    </xf>
    <xf numFmtId="10" fontId="27" fillId="6" borderId="0" xfId="23" applyNumberFormat="1" applyFont="1" applyFill="1" applyAlignment="1">
      <alignment horizontal="right" vertical="center"/>
    </xf>
    <xf numFmtId="10" fontId="27" fillId="10" borderId="16" xfId="5" applyNumberFormat="1" applyFont="1" applyFill="1" applyBorder="1" applyAlignment="1">
      <alignment horizontal="right" vertical="center"/>
    </xf>
    <xf numFmtId="10" fontId="27" fillId="0" borderId="0" xfId="5" applyNumberFormat="1" applyFont="1" applyAlignment="1">
      <alignment horizontal="right" vertical="center"/>
    </xf>
    <xf numFmtId="10" fontId="27" fillId="0" borderId="0" xfId="11" applyNumberFormat="1" applyFont="1" applyAlignment="1">
      <alignment horizontal="right" vertical="center"/>
    </xf>
    <xf numFmtId="10" fontId="27" fillId="6" borderId="0" xfId="5" applyNumberFormat="1" applyFont="1" applyFill="1" applyAlignment="1">
      <alignment horizontal="right" vertical="center"/>
    </xf>
    <xf numFmtId="0" fontId="8" fillId="0" borderId="0" xfId="18" applyFont="1" applyFill="1" applyBorder="1"/>
    <xf numFmtId="0" fontId="12" fillId="0" borderId="0" xfId="18" applyFont="1" applyFill="1" applyBorder="1" applyAlignment="1">
      <alignment vertical="center"/>
    </xf>
    <xf numFmtId="0" fontId="12" fillId="0" borderId="0" xfId="18" applyFont="1" applyFill="1" applyBorder="1"/>
    <xf numFmtId="0" fontId="6" fillId="6" borderId="1" xfId="18" applyFont="1" applyFill="1" applyBorder="1"/>
    <xf numFmtId="0" fontId="4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18" applyFont="1" applyFill="1" applyBorder="1"/>
    <xf numFmtId="0" fontId="6" fillId="8" borderId="3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/>
    </xf>
    <xf numFmtId="0" fontId="0" fillId="0" borderId="0" xfId="0" applyBorder="1"/>
    <xf numFmtId="0" fontId="4" fillId="0" borderId="6" xfId="0" applyFont="1" applyBorder="1" applyAlignment="1">
      <alignment vertical="center"/>
    </xf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0" fontId="27" fillId="6" borderId="0" xfId="11" applyNumberFormat="1" applyFont="1" applyFill="1" applyAlignment="1">
      <alignment horizontal="right" vertical="center"/>
    </xf>
    <xf numFmtId="44" fontId="6" fillId="0" borderId="0" xfId="0" applyNumberFormat="1" applyFont="1" applyFill="1" applyAlignment="1">
      <alignment vertical="center"/>
    </xf>
    <xf numFmtId="178" fontId="27" fillId="10" borderId="0" xfId="0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vertical="center"/>
    </xf>
    <xf numFmtId="10" fontId="4" fillId="0" borderId="1" xfId="5" applyNumberFormat="1" applyFont="1" applyBorder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4" fillId="1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4" fillId="18" borderId="0" xfId="0" applyFont="1" applyFill="1" applyAlignment="1">
      <alignment vertical="center"/>
    </xf>
    <xf numFmtId="9" fontId="0" fillId="0" borderId="0" xfId="5" applyFont="1" applyAlignment="1"/>
    <xf numFmtId="0" fontId="4" fillId="19" borderId="0" xfId="0" applyFont="1" applyFill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8" fillId="14" borderId="0" xfId="18" applyFont="1" applyFill="1" applyAlignment="1">
      <alignment vertical="center"/>
    </xf>
    <xf numFmtId="0" fontId="8" fillId="14" borderId="0" xfId="18" applyFont="1" applyFill="1" applyBorder="1"/>
    <xf numFmtId="0" fontId="10" fillId="14" borderId="0" xfId="18" applyFont="1" applyFill="1" applyAlignment="1">
      <alignment vertical="center"/>
    </xf>
    <xf numFmtId="0" fontId="8" fillId="14" borderId="0" xfId="18" applyFont="1" applyFill="1"/>
    <xf numFmtId="0" fontId="12" fillId="14" borderId="0" xfId="18" applyFont="1" applyFill="1" applyBorder="1" applyAlignment="1">
      <alignment vertical="center"/>
    </xf>
    <xf numFmtId="0" fontId="12" fillId="14" borderId="0" xfId="18" applyFont="1" applyFill="1" applyBorder="1"/>
    <xf numFmtId="0" fontId="30" fillId="14" borderId="0" xfId="18" applyFont="1" applyFill="1" applyBorder="1"/>
    <xf numFmtId="0" fontId="13" fillId="14" borderId="0" xfId="4" applyFont="1" applyFill="1" applyBorder="1" applyAlignment="1" applyProtection="1">
      <alignment horizontal="right" vertical="center"/>
    </xf>
    <xf numFmtId="0" fontId="0" fillId="14" borderId="0" xfId="0" applyFill="1"/>
    <xf numFmtId="0" fontId="0" fillId="14" borderId="0" xfId="0" applyFont="1" applyFill="1" applyBorder="1"/>
    <xf numFmtId="0" fontId="0" fillId="14" borderId="0" xfId="0" applyFill="1" applyBorder="1"/>
    <xf numFmtId="0" fontId="27" fillId="21" borderId="16" xfId="15" applyFont="1" applyFill="1" applyBorder="1" applyAlignment="1">
      <alignment horizontal="right" vertical="center"/>
    </xf>
    <xf numFmtId="183" fontId="27" fillId="21" borderId="16" xfId="15" applyNumberFormat="1" applyFont="1" applyFill="1" applyBorder="1" applyAlignment="1">
      <alignment horizontal="right" vertical="center"/>
    </xf>
    <xf numFmtId="0" fontId="25" fillId="21" borderId="16" xfId="15" applyFill="1" applyBorder="1">
      <alignment vertical="center"/>
    </xf>
    <xf numFmtId="0" fontId="25" fillId="21" borderId="0" xfId="15" applyFill="1" applyBorder="1">
      <alignment vertical="center"/>
    </xf>
    <xf numFmtId="0" fontId="0" fillId="21" borderId="16" xfId="0" applyFill="1" applyBorder="1" applyAlignment="1">
      <alignment vertical="center"/>
    </xf>
    <xf numFmtId="0" fontId="0" fillId="21" borderId="0" xfId="0" applyFill="1" applyBorder="1" applyAlignment="1">
      <alignment vertical="center"/>
    </xf>
    <xf numFmtId="0" fontId="0" fillId="14" borderId="0" xfId="0" applyFont="1" applyFill="1"/>
    <xf numFmtId="0" fontId="1" fillId="14" borderId="0" xfId="18" applyFont="1" applyFill="1"/>
    <xf numFmtId="0" fontId="2" fillId="14" borderId="0" xfId="18" applyFont="1" applyFill="1" applyAlignment="1">
      <alignment vertical="center"/>
    </xf>
    <xf numFmtId="0" fontId="3" fillId="14" borderId="0" xfId="18" applyFont="1" applyFill="1" applyAlignment="1">
      <alignment vertical="center"/>
    </xf>
    <xf numFmtId="0" fontId="2" fillId="14" borderId="0" xfId="18" applyFont="1" applyFill="1" applyBorder="1" applyAlignment="1">
      <alignment horizontal="left" vertical="center" indent="1"/>
    </xf>
    <xf numFmtId="177" fontId="1" fillId="14" borderId="0" xfId="18" applyNumberFormat="1" applyFont="1" applyFill="1"/>
    <xf numFmtId="180" fontId="1" fillId="14" borderId="0" xfId="18" applyNumberFormat="1" applyFont="1" applyFill="1" applyBorder="1" applyAlignment="1">
      <alignment horizontal="center"/>
    </xf>
    <xf numFmtId="0" fontId="0" fillId="14" borderId="0" xfId="0" applyFont="1" applyFill="1" applyAlignment="1">
      <alignment horizontal="center" vertical="center"/>
    </xf>
    <xf numFmtId="0" fontId="6" fillId="14" borderId="0" xfId="18" applyFont="1" applyFill="1" applyAlignment="1">
      <alignment vertical="center"/>
    </xf>
    <xf numFmtId="0" fontId="24" fillId="14" borderId="0" xfId="18" applyFont="1" applyFill="1" applyAlignment="1">
      <alignment vertical="center"/>
    </xf>
    <xf numFmtId="0" fontId="15" fillId="14" borderId="0" xfId="18" applyFont="1" applyFill="1" applyAlignment="1">
      <alignment vertical="center"/>
    </xf>
    <xf numFmtId="0" fontId="24" fillId="14" borderId="0" xfId="18" applyFont="1" applyFill="1" applyBorder="1" applyAlignment="1">
      <alignment horizontal="left" vertical="center"/>
    </xf>
    <xf numFmtId="177" fontId="6" fillId="14" borderId="0" xfId="18" applyNumberFormat="1" applyFont="1" applyFill="1" applyAlignment="1">
      <alignment vertical="center"/>
    </xf>
    <xf numFmtId="180" fontId="6" fillId="14" borderId="0" xfId="18" applyNumberFormat="1" applyFont="1" applyFill="1" applyBorder="1" applyAlignment="1">
      <alignment horizontal="center" vertical="center"/>
    </xf>
    <xf numFmtId="3" fontId="4" fillId="14" borderId="0" xfId="0" applyNumberFormat="1" applyFont="1" applyFill="1" applyAlignment="1">
      <alignment vertical="center"/>
    </xf>
    <xf numFmtId="182" fontId="4" fillId="14" borderId="0" xfId="2" applyNumberFormat="1" applyFont="1" applyFill="1" applyAlignment="1">
      <alignment vertical="center"/>
    </xf>
    <xf numFmtId="0" fontId="1" fillId="14" borderId="0" xfId="18" applyFont="1" applyFill="1" applyAlignment="1">
      <alignment vertical="center"/>
    </xf>
    <xf numFmtId="0" fontId="2" fillId="14" borderId="0" xfId="18" applyFont="1" applyFill="1" applyBorder="1" applyAlignment="1">
      <alignment horizontal="left" vertical="center"/>
    </xf>
    <xf numFmtId="177" fontId="1" fillId="14" borderId="0" xfId="18" applyNumberFormat="1" applyFont="1" applyFill="1" applyAlignment="1">
      <alignment vertical="center"/>
    </xf>
    <xf numFmtId="180" fontId="1" fillId="14" borderId="0" xfId="18" applyNumberFormat="1" applyFont="1" applyFill="1" applyBorder="1" applyAlignment="1">
      <alignment horizontal="center" vertical="center"/>
    </xf>
    <xf numFmtId="0" fontId="0" fillId="14" borderId="0" xfId="0" applyFont="1" applyFill="1" applyAlignment="1">
      <alignment vertical="center"/>
    </xf>
    <xf numFmtId="4" fontId="4" fillId="14" borderId="0" xfId="0" applyNumberFormat="1" applyFont="1" applyFill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0" fontId="6" fillId="14" borderId="0" xfId="0" applyFont="1" applyFill="1" applyAlignment="1">
      <alignment vertical="center"/>
    </xf>
    <xf numFmtId="0" fontId="15" fillId="14" borderId="0" xfId="18" applyFont="1" applyFill="1" applyBorder="1" applyAlignment="1">
      <alignment horizontal="left" vertical="center"/>
    </xf>
    <xf numFmtId="0" fontId="7" fillId="14" borderId="0" xfId="4" applyFont="1" applyFill="1" applyBorder="1" applyAlignment="1" applyProtection="1">
      <alignment horizontal="right" vertical="center"/>
    </xf>
    <xf numFmtId="0" fontId="6" fillId="21" borderId="1" xfId="0" applyFont="1" applyFill="1" applyBorder="1" applyAlignment="1">
      <alignment vertical="center"/>
    </xf>
    <xf numFmtId="0" fontId="4" fillId="21" borderId="1" xfId="0" applyNumberFormat="1" applyFont="1" applyFill="1" applyBorder="1" applyAlignment="1">
      <alignment horizontal="right" vertical="center"/>
    </xf>
    <xf numFmtId="14" fontId="4" fillId="21" borderId="1" xfId="0" applyNumberFormat="1" applyFont="1" applyFill="1" applyBorder="1" applyAlignment="1">
      <alignment horizontal="right" vertical="center"/>
    </xf>
    <xf numFmtId="0" fontId="12" fillId="14" borderId="0" xfId="18" applyFont="1" applyFill="1" applyAlignment="1">
      <alignment vertical="center"/>
    </xf>
    <xf numFmtId="0" fontId="19" fillId="14" borderId="0" xfId="18" applyFont="1" applyFill="1" applyAlignment="1">
      <alignment vertical="center"/>
    </xf>
    <xf numFmtId="0" fontId="20" fillId="14" borderId="0" xfId="18" applyFont="1" applyFill="1" applyAlignment="1">
      <alignment vertical="center"/>
    </xf>
    <xf numFmtId="0" fontId="21" fillId="14" borderId="0" xfId="18" applyFont="1" applyFill="1" applyBorder="1" applyAlignment="1">
      <alignment horizontal="left" vertical="center"/>
    </xf>
    <xf numFmtId="177" fontId="12" fillId="14" borderId="0" xfId="18" applyNumberFormat="1" applyFont="1" applyFill="1" applyAlignment="1">
      <alignment vertical="center"/>
    </xf>
    <xf numFmtId="180" fontId="12" fillId="14" borderId="0" xfId="18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left" vertical="center"/>
    </xf>
    <xf numFmtId="0" fontId="17" fillId="14" borderId="0" xfId="0" applyFont="1" applyFill="1" applyAlignment="1">
      <alignment vertical="center"/>
    </xf>
    <xf numFmtId="0" fontId="18" fillId="14" borderId="0" xfId="18" applyFont="1" applyFill="1" applyAlignment="1">
      <alignment vertical="center"/>
    </xf>
    <xf numFmtId="0" fontId="18" fillId="14" borderId="0" xfId="18" applyFont="1" applyFill="1" applyBorder="1" applyAlignment="1">
      <alignment horizontal="left" vertical="center"/>
    </xf>
    <xf numFmtId="0" fontId="0" fillId="14" borderId="0" xfId="0" applyFont="1" applyFill="1" applyAlignment="1">
      <alignment horizontal="right" vertical="center"/>
    </xf>
    <xf numFmtId="182" fontId="0" fillId="14" borderId="0" xfId="2" applyNumberFormat="1" applyFont="1" applyFill="1" applyAlignment="1">
      <alignment vertical="center"/>
    </xf>
    <xf numFmtId="0" fontId="0" fillId="14" borderId="0" xfId="0" applyFill="1" applyAlignment="1">
      <alignment vertical="center"/>
    </xf>
    <xf numFmtId="0" fontId="9" fillId="14" borderId="0" xfId="18" applyFont="1" applyFill="1" applyAlignment="1">
      <alignment vertical="center"/>
    </xf>
    <xf numFmtId="0" fontId="11" fillId="14" borderId="0" xfId="18" applyFont="1" applyFill="1" applyBorder="1" applyAlignment="1">
      <alignment horizontal="left" vertical="center"/>
    </xf>
    <xf numFmtId="177" fontId="8" fillId="14" borderId="0" xfId="18" applyNumberFormat="1" applyFont="1" applyFill="1" applyAlignment="1">
      <alignment vertical="center"/>
    </xf>
    <xf numFmtId="180" fontId="8" fillId="14" borderId="0" xfId="18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right" vertical="center"/>
    </xf>
    <xf numFmtId="0" fontId="12" fillId="14" borderId="0" xfId="18" applyFont="1" applyFill="1" applyAlignment="1">
      <alignment horizontal="right"/>
    </xf>
    <xf numFmtId="0" fontId="11" fillId="14" borderId="0" xfId="18" applyFont="1" applyFill="1" applyBorder="1" applyAlignment="1">
      <alignment horizontal="left" vertical="center" indent="1"/>
    </xf>
    <xf numFmtId="177" fontId="8" fillId="14" borderId="0" xfId="18" applyNumberFormat="1" applyFont="1" applyFill="1"/>
    <xf numFmtId="180" fontId="8" fillId="14" borderId="0" xfId="18" applyNumberFormat="1" applyFont="1" applyFill="1" applyBorder="1" applyAlignment="1">
      <alignment horizontal="center"/>
    </xf>
    <xf numFmtId="0" fontId="13" fillId="14" borderId="0" xfId="4" applyFont="1" applyFill="1" applyBorder="1" applyAlignment="1" applyProtection="1">
      <alignment horizontal="left" vertical="center"/>
    </xf>
    <xf numFmtId="0" fontId="31" fillId="4" borderId="3" xfId="18" applyFont="1" applyFill="1" applyBorder="1" applyAlignment="1">
      <alignment horizontal="center" vertical="center"/>
    </xf>
    <xf numFmtId="0" fontId="31" fillId="4" borderId="10" xfId="18" applyFont="1" applyFill="1" applyBorder="1" applyAlignment="1">
      <alignment horizontal="center" vertical="center"/>
    </xf>
    <xf numFmtId="0" fontId="31" fillId="15" borderId="7" xfId="18" applyFont="1" applyFill="1" applyBorder="1" applyAlignment="1">
      <alignment horizontal="center" vertical="center"/>
    </xf>
    <xf numFmtId="0" fontId="31" fillId="15" borderId="3" xfId="18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49" fontId="27" fillId="20" borderId="16" xfId="15" applyNumberFormat="1" applyFont="1" applyFill="1" applyBorder="1" applyAlignment="1">
      <alignment horizontal="left" vertical="center"/>
    </xf>
    <xf numFmtId="0" fontId="25" fillId="0" borderId="0" xfId="15" applyFont="1" applyFill="1">
      <alignment vertical="center"/>
    </xf>
    <xf numFmtId="49" fontId="27" fillId="20" borderId="0" xfId="15" applyNumberFormat="1" applyFont="1" applyFill="1" applyBorder="1" applyAlignment="1">
      <alignment horizontal="left" vertical="center"/>
    </xf>
    <xf numFmtId="183" fontId="27" fillId="20" borderId="16" xfId="15" applyNumberFormat="1" applyFont="1" applyFill="1" applyBorder="1" applyAlignment="1">
      <alignment horizontal="right" vertical="center"/>
    </xf>
    <xf numFmtId="183" fontId="27" fillId="20" borderId="0" xfId="15" applyNumberFormat="1" applyFont="1" applyFill="1" applyBorder="1" applyAlignment="1">
      <alignment horizontal="right" vertical="center"/>
    </xf>
    <xf numFmtId="49" fontId="27" fillId="20" borderId="16" xfId="0" applyNumberFormat="1" applyFont="1" applyFill="1" applyBorder="1" applyAlignment="1">
      <alignment horizontal="left" vertical="center"/>
    </xf>
    <xf numFmtId="183" fontId="27" fillId="20" borderId="16" xfId="0" applyNumberFormat="1" applyFont="1" applyFill="1" applyBorder="1" applyAlignment="1">
      <alignment horizontal="right" vertical="center"/>
    </xf>
    <xf numFmtId="183" fontId="27" fillId="20" borderId="0" xfId="0" applyNumberFormat="1" applyFont="1" applyFill="1" applyBorder="1" applyAlignment="1">
      <alignment horizontal="right" vertical="center"/>
    </xf>
    <xf numFmtId="0" fontId="27" fillId="20" borderId="16" xfId="15" applyNumberFormat="1" applyFont="1" applyFill="1" applyBorder="1" applyAlignment="1">
      <alignment horizontal="right" vertical="center"/>
    </xf>
    <xf numFmtId="0" fontId="25" fillId="0" borderId="0" xfId="15" applyFill="1">
      <alignment vertical="center"/>
    </xf>
    <xf numFmtId="49" fontId="28" fillId="20" borderId="0" xfId="15" applyNumberFormat="1" applyFont="1" applyFill="1" applyBorder="1" applyAlignment="1">
      <alignment horizontal="left" vertical="center"/>
    </xf>
    <xf numFmtId="49" fontId="29" fillId="20" borderId="16" xfId="15" applyNumberFormat="1" applyFont="1" applyFill="1" applyBorder="1" applyAlignment="1">
      <alignment horizontal="left" vertical="center"/>
    </xf>
    <xf numFmtId="49" fontId="27" fillId="20" borderId="17" xfId="15" applyNumberFormat="1" applyFont="1" applyFill="1" applyBorder="1" applyAlignment="1">
      <alignment horizontal="left" vertical="center"/>
    </xf>
    <xf numFmtId="0" fontId="31" fillId="22" borderId="9" xfId="18" applyFont="1" applyFill="1" applyBorder="1" applyAlignment="1">
      <alignment horizontal="center" vertical="center"/>
    </xf>
    <xf numFmtId="0" fontId="31" fillId="22" borderId="3" xfId="18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176" fontId="4" fillId="23" borderId="1" xfId="2" applyNumberFormat="1" applyFont="1" applyFill="1" applyBorder="1" applyAlignment="1">
      <alignment horizontal="center" vertical="center"/>
    </xf>
    <xf numFmtId="176" fontId="4" fillId="24" borderId="1" xfId="2" applyNumberFormat="1" applyFont="1" applyFill="1" applyBorder="1" applyAlignment="1">
      <alignment horizontal="center" vertical="center"/>
    </xf>
    <xf numFmtId="176" fontId="6" fillId="23" borderId="1" xfId="2" applyNumberFormat="1" applyFont="1" applyFill="1" applyBorder="1" applyAlignment="1">
      <alignment vertical="center"/>
    </xf>
    <xf numFmtId="176" fontId="6" fillId="24" borderId="1" xfId="2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25" fillId="0" borderId="0" xfId="20">
      <alignment vertical="center"/>
    </xf>
    <xf numFmtId="0" fontId="25" fillId="0" borderId="0" xfId="20" applyAlignment="1">
      <alignment horizontal="center" vertical="center"/>
    </xf>
    <xf numFmtId="0" fontId="25" fillId="25" borderId="0" xfId="20" applyFill="1">
      <alignment vertical="center"/>
    </xf>
    <xf numFmtId="0" fontId="25" fillId="25" borderId="0" xfId="20" applyFill="1" applyAlignment="1">
      <alignment horizontal="center" vertical="center"/>
    </xf>
    <xf numFmtId="0" fontId="43" fillId="25" borderId="21" xfId="20" applyFont="1" applyFill="1" applyBorder="1" applyAlignment="1">
      <alignment horizontal="center" vertical="center"/>
    </xf>
    <xf numFmtId="0" fontId="43" fillId="25" borderId="22" xfId="20" applyFont="1" applyFill="1" applyBorder="1" applyAlignment="1">
      <alignment horizontal="center" vertical="center"/>
    </xf>
    <xf numFmtId="0" fontId="44" fillId="25" borderId="22" xfId="20" applyFont="1" applyFill="1" applyBorder="1">
      <alignment vertical="center"/>
    </xf>
    <xf numFmtId="0" fontId="43" fillId="25" borderId="22" xfId="20" applyFont="1" applyFill="1" applyBorder="1">
      <alignment vertical="center"/>
    </xf>
    <xf numFmtId="0" fontId="44" fillId="25" borderId="23" xfId="20" applyFont="1" applyFill="1" applyBorder="1">
      <alignment vertical="center"/>
    </xf>
    <xf numFmtId="0" fontId="43" fillId="25" borderId="24" xfId="20" applyFont="1" applyFill="1" applyBorder="1" applyAlignment="1">
      <alignment horizontal="center" vertical="center"/>
    </xf>
    <xf numFmtId="14" fontId="43" fillId="25" borderId="0" xfId="20" applyNumberFormat="1" applyFont="1" applyFill="1" applyAlignment="1">
      <alignment horizontal="center" vertical="center"/>
    </xf>
    <xf numFmtId="0" fontId="44" fillId="25" borderId="0" xfId="20" applyFont="1" applyFill="1">
      <alignment vertical="center"/>
    </xf>
    <xf numFmtId="0" fontId="43" fillId="25" borderId="0" xfId="20" applyFont="1" applyFill="1" applyAlignment="1">
      <alignment horizontal="center" vertical="center"/>
    </xf>
    <xf numFmtId="0" fontId="43" fillId="25" borderId="0" xfId="20" applyFont="1" applyFill="1">
      <alignment vertical="center"/>
    </xf>
    <xf numFmtId="0" fontId="44" fillId="25" borderId="25" xfId="20" applyFont="1" applyFill="1" applyBorder="1">
      <alignment vertical="center"/>
    </xf>
    <xf numFmtId="0" fontId="43" fillId="25" borderId="26" xfId="20" applyFont="1" applyFill="1" applyBorder="1" applyAlignment="1">
      <alignment horizontal="center" vertical="center"/>
    </xf>
    <xf numFmtId="0" fontId="43" fillId="25" borderId="27" xfId="20" applyFont="1" applyFill="1" applyBorder="1" applyAlignment="1">
      <alignment horizontal="center" vertical="center"/>
    </xf>
    <xf numFmtId="0" fontId="44" fillId="25" borderId="27" xfId="20" applyFont="1" applyFill="1" applyBorder="1">
      <alignment vertical="center"/>
    </xf>
    <xf numFmtId="0" fontId="43" fillId="25" borderId="27" xfId="20" applyFont="1" applyFill="1" applyBorder="1">
      <alignment vertical="center"/>
    </xf>
    <xf numFmtId="0" fontId="44" fillId="25" borderId="28" xfId="20" applyFont="1" applyFill="1" applyBorder="1">
      <alignment vertical="center"/>
    </xf>
    <xf numFmtId="0" fontId="44" fillId="25" borderId="0" xfId="20" applyFont="1" applyFill="1" applyAlignment="1">
      <alignment horizontal="center" vertical="center"/>
    </xf>
    <xf numFmtId="189" fontId="43" fillId="25" borderId="22" xfId="20" applyNumberFormat="1" applyFont="1" applyFill="1" applyBorder="1" applyAlignment="1">
      <alignment horizontal="center" vertical="center"/>
    </xf>
    <xf numFmtId="189" fontId="43" fillId="25" borderId="27" xfId="20" applyNumberFormat="1" applyFont="1" applyFill="1" applyBorder="1" applyAlignment="1">
      <alignment horizontal="center" vertical="center"/>
    </xf>
    <xf numFmtId="10" fontId="44" fillId="25" borderId="27" xfId="5" applyNumberFormat="1" applyFont="1" applyFill="1" applyBorder="1">
      <alignment vertical="center"/>
    </xf>
    <xf numFmtId="0" fontId="25" fillId="25" borderId="24" xfId="20" applyFill="1" applyBorder="1" applyAlignment="1">
      <alignment horizontal="center" vertical="center"/>
    </xf>
    <xf numFmtId="0" fontId="25" fillId="25" borderId="26" xfId="20" applyFill="1" applyBorder="1" applyAlignment="1">
      <alignment horizontal="center" vertical="center"/>
    </xf>
    <xf numFmtId="44" fontId="0" fillId="0" borderId="0" xfId="0" applyNumberFormat="1"/>
    <xf numFmtId="0" fontId="47" fillId="26" borderId="19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48" fillId="27" borderId="0" xfId="0" applyNumberFormat="1" applyFont="1" applyFill="1" applyAlignment="1">
      <alignment horizontal="center" vertical="center" wrapText="1"/>
    </xf>
    <xf numFmtId="1" fontId="48" fillId="27" borderId="0" xfId="0" applyNumberFormat="1" applyFont="1" applyFill="1" applyAlignment="1">
      <alignment horizontal="center" vertical="center" wrapText="1"/>
    </xf>
    <xf numFmtId="10" fontId="48" fillId="0" borderId="0" xfId="0" applyNumberFormat="1" applyFont="1" applyAlignment="1">
      <alignment horizontal="center" vertical="center" wrapText="1"/>
    </xf>
    <xf numFmtId="10" fontId="48" fillId="0" borderId="0" xfId="5" applyNumberFormat="1" applyFont="1" applyBorder="1" applyAlignment="1">
      <alignment horizontal="center" vertical="center" wrapText="1"/>
    </xf>
    <xf numFmtId="2" fontId="48" fillId="27" borderId="0" xfId="0" applyNumberFormat="1" applyFont="1" applyFill="1" applyAlignment="1">
      <alignment horizontal="center" vertical="center" wrapText="1"/>
    </xf>
    <xf numFmtId="1" fontId="48" fillId="0" borderId="0" xfId="0" applyNumberFormat="1" applyFont="1" applyAlignment="1">
      <alignment horizontal="center" vertical="center"/>
    </xf>
    <xf numFmtId="0" fontId="48" fillId="27" borderId="0" xfId="0" applyFont="1" applyFill="1" applyAlignment="1">
      <alignment horizontal="center" vertical="center" wrapText="1"/>
    </xf>
    <xf numFmtId="0" fontId="46" fillId="0" borderId="27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 vertical="center" wrapText="1"/>
    </xf>
    <xf numFmtId="1" fontId="49" fillId="0" borderId="0" xfId="0" applyNumberFormat="1" applyFont="1" applyAlignment="1">
      <alignment horizontal="center" vertical="center" wrapText="1"/>
    </xf>
    <xf numFmtId="10" fontId="49" fillId="27" borderId="0" xfId="0" applyNumberFormat="1" applyFont="1" applyFill="1" applyAlignment="1">
      <alignment horizontal="center" vertical="center" wrapText="1"/>
    </xf>
    <xf numFmtId="10" fontId="49" fillId="0" borderId="0" xfId="5" applyNumberFormat="1" applyFont="1" applyAlignment="1">
      <alignment horizontal="center" vertical="center" wrapText="1"/>
    </xf>
    <xf numFmtId="0" fontId="48" fillId="0" borderId="0" xfId="0" applyFont="1" applyAlignment="1">
      <alignment horizontal="left"/>
    </xf>
    <xf numFmtId="10" fontId="49" fillId="27" borderId="27" xfId="0" applyNumberFormat="1" applyFont="1" applyFill="1" applyBorder="1" applyAlignment="1">
      <alignment horizontal="center" vertical="center" wrapText="1"/>
    </xf>
    <xf numFmtId="0" fontId="49" fillId="27" borderId="27" xfId="0" applyNumberFormat="1" applyFont="1" applyFill="1" applyBorder="1" applyAlignment="1">
      <alignment horizontal="center" vertical="center" wrapText="1"/>
    </xf>
    <xf numFmtId="190" fontId="4" fillId="0" borderId="1" xfId="0" applyNumberFormat="1" applyFont="1" applyBorder="1" applyAlignment="1">
      <alignment vertical="center"/>
    </xf>
    <xf numFmtId="190" fontId="6" fillId="0" borderId="1" xfId="21" applyNumberFormat="1" applyFont="1" applyBorder="1" applyAlignment="1">
      <alignment vertical="center"/>
    </xf>
    <xf numFmtId="190" fontId="4" fillId="6" borderId="1" xfId="2" applyNumberFormat="1" applyFont="1" applyFill="1" applyBorder="1" applyAlignment="1">
      <alignment horizontal="right" vertical="center"/>
    </xf>
    <xf numFmtId="43" fontId="6" fillId="0" borderId="1" xfId="2" applyNumberFormat="1" applyFont="1" applyBorder="1" applyAlignment="1">
      <alignment vertical="center"/>
    </xf>
    <xf numFmtId="43" fontId="4" fillId="0" borderId="1" xfId="2" applyNumberFormat="1" applyFont="1" applyBorder="1" applyAlignment="1">
      <alignment vertical="center"/>
    </xf>
    <xf numFmtId="43" fontId="6" fillId="0" borderId="1" xfId="21" applyNumberFormat="1" applyFont="1" applyBorder="1" applyAlignment="1">
      <alignment vertical="center"/>
    </xf>
    <xf numFmtId="43" fontId="4" fillId="0" borderId="1" xfId="2" applyNumberFormat="1" applyFont="1" applyFill="1" applyBorder="1" applyAlignment="1">
      <alignment vertical="center"/>
    </xf>
    <xf numFmtId="43" fontId="16" fillId="0" borderId="1" xfId="2" applyNumberFormat="1" applyFont="1" applyBorder="1" applyAlignment="1">
      <alignment vertical="center"/>
    </xf>
    <xf numFmtId="43" fontId="16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6" fillId="6" borderId="1" xfId="2" applyNumberFormat="1" applyFont="1" applyFill="1" applyBorder="1" applyAlignment="1">
      <alignment vertical="center"/>
    </xf>
    <xf numFmtId="184" fontId="4" fillId="0" borderId="1" xfId="0" applyNumberFormat="1" applyFont="1" applyBorder="1" applyAlignment="1">
      <alignment vertical="center"/>
    </xf>
    <xf numFmtId="43" fontId="4" fillId="6" borderId="1" xfId="2" applyNumberFormat="1" applyFont="1" applyFill="1" applyBorder="1" applyAlignment="1">
      <alignment vertical="center"/>
    </xf>
    <xf numFmtId="43" fontId="5" fillId="0" borderId="1" xfId="2" applyNumberFormat="1" applyFont="1" applyFill="1" applyBorder="1" applyAlignment="1">
      <alignment vertical="center"/>
    </xf>
    <xf numFmtId="43" fontId="5" fillId="0" borderId="1" xfId="5" applyNumberFormat="1" applyFont="1" applyFill="1" applyBorder="1" applyAlignment="1">
      <alignment vertical="center"/>
    </xf>
    <xf numFmtId="184" fontId="6" fillId="0" borderId="1" xfId="0" applyNumberFormat="1" applyFont="1" applyBorder="1" applyAlignment="1">
      <alignment vertical="center" wrapText="1"/>
    </xf>
    <xf numFmtId="43" fontId="6" fillId="8" borderId="1" xfId="1" applyNumberFormat="1" applyFont="1" applyFill="1" applyBorder="1" applyAlignment="1">
      <alignment vertical="center"/>
    </xf>
    <xf numFmtId="43" fontId="6" fillId="8" borderId="1" xfId="1" applyNumberFormat="1" applyFont="1" applyFill="1" applyBorder="1" applyAlignment="1">
      <alignment horizontal="right" vertical="center"/>
    </xf>
    <xf numFmtId="43" fontId="6" fillId="11" borderId="1" xfId="1" applyNumberFormat="1" applyFont="1" applyFill="1" applyBorder="1" applyAlignment="1">
      <alignment horizontal="right" vertical="center"/>
    </xf>
    <xf numFmtId="43" fontId="6" fillId="12" borderId="1" xfId="1" applyNumberFormat="1" applyFont="1" applyFill="1" applyBorder="1" applyAlignment="1">
      <alignment horizontal="right" vertical="center"/>
    </xf>
    <xf numFmtId="43" fontId="6" fillId="13" borderId="1" xfId="1" applyNumberFormat="1" applyFont="1" applyFill="1" applyBorder="1" applyAlignment="1">
      <alignment horizontal="right" vertical="center"/>
    </xf>
    <xf numFmtId="43" fontId="4" fillId="5" borderId="1" xfId="1" applyNumberFormat="1" applyFont="1" applyFill="1" applyBorder="1" applyAlignment="1">
      <alignment horizontal="right" vertical="center"/>
    </xf>
    <xf numFmtId="43" fontId="6" fillId="14" borderId="1" xfId="1" applyNumberFormat="1" applyFont="1" applyFill="1" applyBorder="1" applyAlignment="1">
      <alignment horizontal="right" vertical="center"/>
    </xf>
    <xf numFmtId="43" fontId="6" fillId="15" borderId="1" xfId="1" applyNumberFormat="1" applyFont="1" applyFill="1" applyBorder="1" applyAlignment="1">
      <alignment horizontal="right" vertical="center"/>
    </xf>
    <xf numFmtId="43" fontId="6" fillId="16" borderId="1" xfId="1" applyNumberFormat="1" applyFont="1" applyFill="1" applyBorder="1" applyAlignment="1">
      <alignment horizontal="right" vertical="center"/>
    </xf>
    <xf numFmtId="43" fontId="15" fillId="8" borderId="1" xfId="1" applyNumberFormat="1" applyFont="1" applyFill="1" applyBorder="1" applyAlignment="1">
      <alignment vertical="center"/>
    </xf>
    <xf numFmtId="43" fontId="15" fillId="17" borderId="1" xfId="1" applyNumberFormat="1" applyFont="1" applyFill="1" applyBorder="1" applyAlignment="1">
      <alignment vertical="center"/>
    </xf>
    <xf numFmtId="43" fontId="15" fillId="18" borderId="1" xfId="1" applyNumberFormat="1" applyFont="1" applyFill="1" applyBorder="1" applyAlignment="1">
      <alignment vertical="center"/>
    </xf>
    <xf numFmtId="43" fontId="4" fillId="0" borderId="9" xfId="2" applyNumberFormat="1" applyFont="1" applyFill="1" applyBorder="1" applyAlignment="1">
      <alignment horizontal="center" vertical="center"/>
    </xf>
    <xf numFmtId="43" fontId="4" fillId="0" borderId="2" xfId="2" applyNumberFormat="1" applyFont="1" applyFill="1" applyBorder="1" applyAlignment="1">
      <alignment vertical="center"/>
    </xf>
    <xf numFmtId="43" fontId="15" fillId="19" borderId="1" xfId="1" applyNumberFormat="1" applyFont="1" applyFill="1" applyBorder="1" applyAlignment="1">
      <alignment vertical="center"/>
    </xf>
    <xf numFmtId="43" fontId="15" fillId="8" borderId="1" xfId="1" applyNumberFormat="1" applyFont="1" applyFill="1" applyBorder="1" applyAlignment="1">
      <alignment horizontal="left" vertical="center"/>
    </xf>
    <xf numFmtId="43" fontId="6" fillId="8" borderId="1" xfId="1" applyNumberFormat="1" applyFont="1" applyFill="1" applyBorder="1" applyAlignment="1">
      <alignment horizontal="left" vertical="center"/>
    </xf>
    <xf numFmtId="43" fontId="6" fillId="0" borderId="1" xfId="2" applyNumberFormat="1" applyFont="1" applyFill="1" applyBorder="1" applyAlignment="1">
      <alignment vertical="center"/>
    </xf>
    <xf numFmtId="43" fontId="15" fillId="8" borderId="3" xfId="1" applyNumberFormat="1" applyFont="1" applyFill="1" applyBorder="1" applyAlignment="1">
      <alignment vertical="center"/>
    </xf>
    <xf numFmtId="43" fontId="6" fillId="8" borderId="4" xfId="1" applyNumberFormat="1" applyFont="1" applyFill="1" applyBorder="1" applyAlignment="1">
      <alignment vertical="center"/>
    </xf>
    <xf numFmtId="43" fontId="6" fillId="0" borderId="4" xfId="2" applyNumberFormat="1" applyFont="1" applyFill="1" applyBorder="1" applyAlignment="1">
      <alignment vertical="center"/>
    </xf>
    <xf numFmtId="43" fontId="4" fillId="0" borderId="4" xfId="2" applyNumberFormat="1" applyFont="1" applyFill="1" applyBorder="1" applyAlignment="1">
      <alignment vertical="center"/>
    </xf>
    <xf numFmtId="43" fontId="4" fillId="0" borderId="6" xfId="2" applyNumberFormat="1" applyFont="1" applyFill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43" fontId="6" fillId="0" borderId="1" xfId="1" applyNumberFormat="1" applyFont="1" applyFill="1" applyBorder="1" applyAlignment="1">
      <alignment horizontal="left" vertical="center"/>
    </xf>
    <xf numFmtId="43" fontId="6" fillId="0" borderId="1" xfId="1" applyNumberFormat="1" applyFont="1" applyFill="1" applyBorder="1" applyAlignment="1">
      <alignment vertical="center"/>
    </xf>
    <xf numFmtId="43" fontId="6" fillId="0" borderId="1" xfId="1" quotePrefix="1" applyNumberFormat="1" applyFont="1" applyFill="1" applyBorder="1" applyAlignment="1">
      <alignment horizontal="left" vertical="center"/>
    </xf>
    <xf numFmtId="43" fontId="4" fillId="0" borderId="1" xfId="21" applyNumberFormat="1" applyFont="1" applyFill="1" applyBorder="1" applyAlignment="1">
      <alignment vertical="center"/>
    </xf>
    <xf numFmtId="43" fontId="15" fillId="0" borderId="1" xfId="1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vertical="center"/>
    </xf>
    <xf numFmtId="0" fontId="45" fillId="21" borderId="16" xfId="15" applyFont="1" applyFill="1" applyBorder="1" applyAlignment="1">
      <alignment horizontal="center" vertical="center"/>
    </xf>
    <xf numFmtId="0" fontId="45" fillId="21" borderId="16" xfId="0" applyFont="1" applyFill="1" applyBorder="1" applyAlignment="1">
      <alignment horizontal="center" vertical="center"/>
    </xf>
    <xf numFmtId="0" fontId="42" fillId="25" borderId="18" xfId="20" applyFont="1" applyFill="1" applyBorder="1" applyAlignment="1">
      <alignment horizontal="center" vertical="center"/>
    </xf>
    <xf numFmtId="0" fontId="42" fillId="25" borderId="19" xfId="20" applyFont="1" applyFill="1" applyBorder="1" applyAlignment="1">
      <alignment horizontal="center" vertical="center"/>
    </xf>
    <xf numFmtId="0" fontId="42" fillId="25" borderId="20" xfId="20" applyFont="1" applyFill="1" applyBorder="1" applyAlignment="1">
      <alignment horizontal="center" vertical="center"/>
    </xf>
    <xf numFmtId="0" fontId="43" fillId="25" borderId="22" xfId="20" applyFont="1" applyFill="1" applyBorder="1" applyAlignment="1">
      <alignment horizontal="left" vertical="center" wrapText="1"/>
    </xf>
    <xf numFmtId="0" fontId="43" fillId="25" borderId="23" xfId="20" applyFont="1" applyFill="1" applyBorder="1" applyAlignment="1">
      <alignment horizontal="left" vertical="center" wrapText="1"/>
    </xf>
    <xf numFmtId="0" fontId="43" fillId="25" borderId="0" xfId="20" applyFont="1" applyFill="1" applyAlignment="1">
      <alignment horizontal="left" vertical="center" wrapText="1"/>
    </xf>
    <xf numFmtId="0" fontId="43" fillId="25" borderId="25" xfId="20" applyFont="1" applyFill="1" applyBorder="1" applyAlignment="1">
      <alignment horizontal="left" vertical="center" wrapText="1"/>
    </xf>
    <xf numFmtId="0" fontId="43" fillId="25" borderId="27" xfId="20" applyFont="1" applyFill="1" applyBorder="1" applyAlignment="1">
      <alignment horizontal="left" vertical="center" wrapText="1"/>
    </xf>
    <xf numFmtId="0" fontId="43" fillId="25" borderId="28" xfId="20" applyFont="1" applyFill="1" applyBorder="1" applyAlignment="1">
      <alignment horizontal="left" vertical="center" wrapText="1"/>
    </xf>
    <xf numFmtId="0" fontId="25" fillId="0" borderId="0" xfId="20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5" fillId="8" borderId="7" xfId="0" applyFont="1" applyFill="1" applyBorder="1" applyAlignment="1" applyProtection="1">
      <alignment horizontal="center" vertical="center"/>
      <protection hidden="1"/>
    </xf>
    <xf numFmtId="0" fontId="15" fillId="8" borderId="8" xfId="0" applyFont="1" applyFill="1" applyBorder="1" applyAlignment="1" applyProtection="1">
      <alignment horizontal="center" vertical="center"/>
      <protection hidden="1"/>
    </xf>
    <xf numFmtId="0" fontId="15" fillId="8" borderId="9" xfId="0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center" vertical="center"/>
      <protection hidden="1"/>
    </xf>
    <xf numFmtId="0" fontId="15" fillId="8" borderId="1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5" fillId="8" borderId="3" xfId="0" applyFont="1" applyFill="1" applyBorder="1" applyAlignment="1" applyProtection="1">
      <alignment horizontal="left" vertical="center"/>
      <protection hidden="1"/>
    </xf>
    <xf numFmtId="0" fontId="15" fillId="8" borderId="4" xfId="0" applyFont="1" applyFill="1" applyBorder="1" applyAlignment="1" applyProtection="1">
      <alignment horizontal="left" vertical="center"/>
      <protection hidden="1"/>
    </xf>
    <xf numFmtId="0" fontId="15" fillId="8" borderId="6" xfId="0" applyFont="1" applyFill="1" applyBorder="1" applyAlignment="1" applyProtection="1">
      <alignment horizontal="left" vertical="center"/>
      <protection hidden="1"/>
    </xf>
    <xf numFmtId="0" fontId="15" fillId="0" borderId="3" xfId="18" applyFont="1" applyFill="1" applyBorder="1" applyAlignment="1">
      <alignment horizontal="left" vertical="center"/>
    </xf>
    <xf numFmtId="0" fontId="15" fillId="0" borderId="4" xfId="18" applyFont="1" applyFill="1" applyBorder="1" applyAlignment="1">
      <alignment horizontal="left" vertical="center"/>
    </xf>
    <xf numFmtId="0" fontId="15" fillId="0" borderId="6" xfId="18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5" fillId="8" borderId="3" xfId="0" applyFont="1" applyFill="1" applyBorder="1" applyAlignment="1" applyProtection="1">
      <alignment vertical="center"/>
      <protection hidden="1"/>
    </xf>
    <xf numFmtId="0" fontId="15" fillId="8" borderId="4" xfId="0" applyFont="1" applyFill="1" applyBorder="1" applyAlignment="1" applyProtection="1">
      <alignment vertical="center"/>
      <protection hidden="1"/>
    </xf>
    <xf numFmtId="0" fontId="15" fillId="8" borderId="6" xfId="0" applyFont="1" applyFill="1" applyBorder="1" applyAlignment="1" applyProtection="1">
      <alignment vertical="center"/>
      <protection hidden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0" fontId="49" fillId="27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3" fontId="6" fillId="0" borderId="2" xfId="2" applyNumberFormat="1" applyFont="1" applyFill="1" applyBorder="1" applyAlignment="1">
      <alignment horizontal="center" vertical="center"/>
    </xf>
    <xf numFmtId="43" fontId="6" fillId="0" borderId="5" xfId="2" applyNumberFormat="1" applyFont="1" applyFill="1" applyBorder="1" applyAlignment="1">
      <alignment horizontal="center" vertical="center"/>
    </xf>
    <xf numFmtId="43" fontId="4" fillId="0" borderId="2" xfId="2" applyNumberFormat="1" applyFont="1" applyFill="1" applyBorder="1" applyAlignment="1">
      <alignment horizontal="center" vertical="center"/>
    </xf>
    <xf numFmtId="43" fontId="4" fillId="0" borderId="15" xfId="2" applyNumberFormat="1" applyFont="1" applyFill="1" applyBorder="1" applyAlignment="1">
      <alignment horizontal="center" vertical="center"/>
    </xf>
    <xf numFmtId="43" fontId="4" fillId="0" borderId="5" xfId="2" applyNumberFormat="1" applyFont="1" applyFill="1" applyBorder="1" applyAlignment="1">
      <alignment horizontal="center" vertical="center"/>
    </xf>
    <xf numFmtId="43" fontId="4" fillId="0" borderId="7" xfId="2" applyNumberFormat="1" applyFont="1" applyFill="1" applyBorder="1" applyAlignment="1">
      <alignment horizontal="center" vertical="center"/>
    </xf>
    <xf numFmtId="43" fontId="4" fillId="0" borderId="10" xfId="2" applyNumberFormat="1" applyFont="1" applyFill="1" applyBorder="1" applyAlignment="1">
      <alignment horizontal="center" vertical="center"/>
    </xf>
    <xf numFmtId="43" fontId="6" fillId="8" borderId="3" xfId="1" applyNumberFormat="1" applyFont="1" applyFill="1" applyBorder="1" applyAlignment="1">
      <alignment horizontal="center" vertical="center"/>
    </xf>
    <xf numFmtId="43" fontId="6" fillId="8" borderId="4" xfId="1" applyNumberFormat="1" applyFont="1" applyFill="1" applyBorder="1" applyAlignment="1">
      <alignment horizontal="center" vertical="center"/>
    </xf>
    <xf numFmtId="43" fontId="6" fillId="8" borderId="6" xfId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5" fillId="21" borderId="3" xfId="0" applyFont="1" applyFill="1" applyBorder="1" applyAlignment="1">
      <alignment horizontal="left" vertical="center"/>
    </xf>
    <xf numFmtId="0" fontId="15" fillId="21" borderId="4" xfId="0" applyFont="1" applyFill="1" applyBorder="1" applyAlignment="1">
      <alignment horizontal="left" vertical="center"/>
    </xf>
    <xf numFmtId="0" fontId="15" fillId="21" borderId="6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5" fillId="21" borderId="3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 vertical="center"/>
    </xf>
    <xf numFmtId="0" fontId="5" fillId="21" borderId="3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4" fillId="20" borderId="13" xfId="0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/>
    </xf>
    <xf numFmtId="0" fontId="4" fillId="20" borderId="11" xfId="0" applyFont="1" applyFill="1" applyBorder="1" applyAlignment="1">
      <alignment horizontal="center"/>
    </xf>
    <xf numFmtId="0" fontId="4" fillId="20" borderId="14" xfId="0" applyFont="1" applyFill="1" applyBorder="1" applyAlignment="1">
      <alignment horizontal="center"/>
    </xf>
    <xf numFmtId="44" fontId="0" fillId="0" borderId="0" xfId="0" applyNumberFormat="1" applyAlignment="1">
      <alignment vertical="center"/>
    </xf>
  </cellXfs>
  <cellStyles count="24">
    <cellStyle name="%格式" xfId="3" xr:uid="{00000000-0005-0000-0000-000009000000}"/>
    <cellStyle name="Comma 2" xfId="8" xr:uid="{00000000-0005-0000-0000-000012000000}"/>
    <cellStyle name="Style 1" xfId="14" xr:uid="{00000000-0005-0000-0000-00003A000000}"/>
    <cellStyle name="百分比" xfId="5" builtinId="5"/>
    <cellStyle name="百分比 2" xfId="7" xr:uid="{00000000-0005-0000-0000-000010000000}"/>
    <cellStyle name="百分比 3" xfId="16" xr:uid="{00000000-0005-0000-0000-00003C000000}"/>
    <cellStyle name="百分比 4" xfId="9" xr:uid="{00000000-0005-0000-0000-000018000000}"/>
    <cellStyle name="百分比 5" xfId="10" xr:uid="{00000000-0005-0000-0000-00001A000000}"/>
    <cellStyle name="百分比 6" xfId="11" xr:uid="{00000000-0005-0000-0000-00001C000000}"/>
    <cellStyle name="常规" xfId="0" builtinId="0"/>
    <cellStyle name="常规 2" xfId="17" xr:uid="{00000000-0005-0000-0000-00003D000000}"/>
    <cellStyle name="常规 2 2" xfId="12" xr:uid="{00000000-0005-0000-0000-000033000000}"/>
    <cellStyle name="常规 3" xfId="18" xr:uid="{00000000-0005-0000-0000-00003E000000}"/>
    <cellStyle name="常规 4" xfId="19" xr:uid="{00000000-0005-0000-0000-00003F000000}"/>
    <cellStyle name="常规 4 2" xfId="13" xr:uid="{00000000-0005-0000-0000-000039000000}"/>
    <cellStyle name="常规 5" xfId="20" xr:uid="{00000000-0005-0000-0000-000040000000}"/>
    <cellStyle name="常规 6" xfId="6" xr:uid="{00000000-0005-0000-0000-00000F000000}"/>
    <cellStyle name="常规 7" xfId="15" xr:uid="{00000000-0005-0000-0000-00003B000000}"/>
    <cellStyle name="超链接" xfId="4" builtinId="8"/>
    <cellStyle name="千位分隔" xfId="2" builtinId="3"/>
    <cellStyle name="千位分隔 2" xfId="21" xr:uid="{00000000-0005-0000-0000-000041000000}"/>
    <cellStyle name="千位分隔 3" xfId="22" xr:uid="{00000000-0005-0000-0000-000042000000}"/>
    <cellStyle name="千位分隔 4" xfId="23" xr:uid="{00000000-0005-0000-0000-000043000000}"/>
    <cellStyle name="千位分隔[0]" xfId="1" builtinId="6"/>
  </cellStyles>
  <dxfs count="0"/>
  <tableStyles count="0" defaultTableStyle="TableStyleMedium2" defaultPivotStyle="PivotStyleMedium9"/>
  <colors>
    <mruColors>
      <color rgb="FFFF9900"/>
      <color rgb="FF4362E5"/>
      <color rgb="FF004E9D"/>
      <color rgb="FF9966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利润表!$A$72</c:f>
              <c:strCache>
                <c:ptCount val="1"/>
                <c:pt idx="0">
                  <c:v>营业收入-YoY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利润表!$B$2:$L$2</c15:sqref>
                  </c15:fullRef>
                </c:ext>
              </c:extLst>
              <c:f>利润表!$G$2:$L$2</c:f>
              <c:strCache>
                <c:ptCount val="6"/>
                <c:pt idx="0">
                  <c:v>2018-12-31</c:v>
                </c:pt>
                <c:pt idx="1">
                  <c:v>2019E</c:v>
                </c:pt>
                <c:pt idx="2">
                  <c:v>2020E</c:v>
                </c:pt>
                <c:pt idx="3">
                  <c:v>2021E</c:v>
                </c:pt>
                <c:pt idx="4">
                  <c:v>2022E</c:v>
                </c:pt>
                <c:pt idx="5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利润表!$B$72:$L$72</c15:sqref>
                  </c15:fullRef>
                </c:ext>
              </c:extLst>
              <c:f>利润表!$G$72:$L$72</c:f>
              <c:numCache>
                <c:formatCode>0.0%</c:formatCode>
                <c:ptCount val="6"/>
                <c:pt idx="0">
                  <c:v>0.10298290693777234</c:v>
                </c:pt>
                <c:pt idx="1">
                  <c:v>0.12964737866316178</c:v>
                </c:pt>
                <c:pt idx="2">
                  <c:v>0.18607955917127672</c:v>
                </c:pt>
                <c:pt idx="3">
                  <c:v>0.22341355709192734</c:v>
                </c:pt>
                <c:pt idx="4">
                  <c:v>0.24234914342121816</c:v>
                </c:pt>
                <c:pt idx="5">
                  <c:v>0.26176304496129044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8-454C-A4E9-79D3B5DC2E0A}"/>
            </c:ext>
          </c:extLst>
        </c:ser>
        <c:ser>
          <c:idx val="1"/>
          <c:order val="1"/>
          <c:tx>
            <c:strRef>
              <c:f>利润表!$A$73</c:f>
              <c:strCache>
                <c:ptCount val="1"/>
                <c:pt idx="0">
                  <c:v>归母净利润-YoY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利润表!$B$2:$L$2</c15:sqref>
                  </c15:fullRef>
                </c:ext>
              </c:extLst>
              <c:f>利润表!$G$2:$L$2</c:f>
              <c:strCache>
                <c:ptCount val="6"/>
                <c:pt idx="0">
                  <c:v>2018-12-31</c:v>
                </c:pt>
                <c:pt idx="1">
                  <c:v>2019E</c:v>
                </c:pt>
                <c:pt idx="2">
                  <c:v>2020E</c:v>
                </c:pt>
                <c:pt idx="3">
                  <c:v>2021E</c:v>
                </c:pt>
                <c:pt idx="4">
                  <c:v>2022E</c:v>
                </c:pt>
                <c:pt idx="5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利润表!$B$73:$L$73</c15:sqref>
                  </c15:fullRef>
                </c:ext>
              </c:extLst>
              <c:f>利润表!$G$73:$L$73</c:f>
              <c:numCache>
                <c:formatCode>0.0%</c:formatCode>
                <c:ptCount val="6"/>
                <c:pt idx="0">
                  <c:v>7.0127504553734177E-2</c:v>
                </c:pt>
                <c:pt idx="1">
                  <c:v>7.416577937232649E-2</c:v>
                </c:pt>
                <c:pt idx="2">
                  <c:v>0.17816386616985835</c:v>
                </c:pt>
                <c:pt idx="3">
                  <c:v>0.27329901684777647</c:v>
                </c:pt>
                <c:pt idx="4">
                  <c:v>0.28551542514968653</c:v>
                </c:pt>
                <c:pt idx="5">
                  <c:v>0.28827286633987259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8-454C-A4E9-79D3B5DC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31152"/>
        <c:axId val="1922627888"/>
      </c:lineChart>
      <c:catAx>
        <c:axId val="19226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7888"/>
        <c:crosses val="autoZero"/>
        <c:auto val="1"/>
        <c:lblAlgn val="ctr"/>
        <c:lblOffset val="100"/>
        <c:noMultiLvlLbl val="0"/>
      </c:catAx>
      <c:valAx>
        <c:axId val="192262788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利润表!$A$75</c:f>
              <c:strCache>
                <c:ptCount val="1"/>
                <c:pt idx="0">
                  <c:v>毛销差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利润表!$B$2:$L$2</c:f>
              <c:strCache>
                <c:ptCount val="11"/>
                <c:pt idx="0">
                  <c:v>2013-12-31</c:v>
                </c:pt>
                <c:pt idx="1">
                  <c:v>2014-12-31</c:v>
                </c:pt>
                <c:pt idx="2">
                  <c:v>2015-12-31</c:v>
                </c:pt>
                <c:pt idx="3">
                  <c:v>2016-12-31</c:v>
                </c:pt>
                <c:pt idx="4">
                  <c:v>2017-12-31</c:v>
                </c:pt>
                <c:pt idx="5">
                  <c:v>2018-12-31</c:v>
                </c:pt>
                <c:pt idx="6">
                  <c:v>2019E</c:v>
                </c:pt>
                <c:pt idx="7">
                  <c:v>2020E</c:v>
                </c:pt>
                <c:pt idx="8">
                  <c:v>2021E</c:v>
                </c:pt>
                <c:pt idx="9">
                  <c:v>2022E</c:v>
                </c:pt>
                <c:pt idx="10">
                  <c:v>2023E</c:v>
                </c:pt>
              </c:strCache>
            </c:strRef>
          </c:cat>
          <c:val>
            <c:numRef>
              <c:f>利润表!$B$75:$L$75</c:f>
              <c:numCache>
                <c:formatCode>0.0%</c:formatCode>
                <c:ptCount val="11"/>
                <c:pt idx="0">
                  <c:v>0.26090412250036926</c:v>
                </c:pt>
                <c:pt idx="1">
                  <c:v>0.22388587918220676</c:v>
                </c:pt>
                <c:pt idx="2">
                  <c:v>0.2276592560341778</c:v>
                </c:pt>
                <c:pt idx="3">
                  <c:v>0.24245461917136496</c:v>
                </c:pt>
                <c:pt idx="4">
                  <c:v>0.24721260194391687</c:v>
                </c:pt>
                <c:pt idx="5">
                  <c:v>0.23032979499230208</c:v>
                </c:pt>
                <c:pt idx="6">
                  <c:v>0.23149703694000937</c:v>
                </c:pt>
                <c:pt idx="7">
                  <c:v>0.23383034238419084</c:v>
                </c:pt>
                <c:pt idx="8">
                  <c:v>0.23936972863285474</c:v>
                </c:pt>
                <c:pt idx="9">
                  <c:v>0.2441015424525331</c:v>
                </c:pt>
                <c:pt idx="10">
                  <c:v>0.24801910680861819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3-4C1E-B275-AA29D9189BC4}"/>
            </c:ext>
          </c:extLst>
        </c:ser>
        <c:ser>
          <c:idx val="1"/>
          <c:order val="1"/>
          <c:tx>
            <c:strRef>
              <c:f>利润表!$A$76</c:f>
              <c:strCache>
                <c:ptCount val="1"/>
                <c:pt idx="0">
                  <c:v>归母净利润率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利润表!$B$2:$L$2</c:f>
              <c:strCache>
                <c:ptCount val="11"/>
                <c:pt idx="0">
                  <c:v>2013-12-31</c:v>
                </c:pt>
                <c:pt idx="1">
                  <c:v>2014-12-31</c:v>
                </c:pt>
                <c:pt idx="2">
                  <c:v>2015-12-31</c:v>
                </c:pt>
                <c:pt idx="3">
                  <c:v>2016-12-31</c:v>
                </c:pt>
                <c:pt idx="4">
                  <c:v>2017-12-31</c:v>
                </c:pt>
                <c:pt idx="5">
                  <c:v>2018-12-31</c:v>
                </c:pt>
                <c:pt idx="6">
                  <c:v>2019E</c:v>
                </c:pt>
                <c:pt idx="7">
                  <c:v>2020E</c:v>
                </c:pt>
                <c:pt idx="8">
                  <c:v>2021E</c:v>
                </c:pt>
                <c:pt idx="9">
                  <c:v>2022E</c:v>
                </c:pt>
                <c:pt idx="10">
                  <c:v>2023E</c:v>
                </c:pt>
              </c:strCache>
            </c:strRef>
          </c:cat>
          <c:val>
            <c:numRef>
              <c:f>利润表!$B$76:$L$76</c:f>
              <c:numCache>
                <c:formatCode>0.0%</c:formatCode>
                <c:ptCount val="11"/>
                <c:pt idx="0">
                  <c:v>0.13817867216239599</c:v>
                </c:pt>
                <c:pt idx="1">
                  <c:v>9.6051234584705852E-2</c:v>
                </c:pt>
                <c:pt idx="2">
                  <c:v>9.9308824729924611E-2</c:v>
                </c:pt>
                <c:pt idx="3">
                  <c:v>9.6725173829484298E-2</c:v>
                </c:pt>
                <c:pt idx="4">
                  <c:v>9.2000893754887708E-2</c:v>
                </c:pt>
                <c:pt idx="5">
                  <c:v>8.9260392188639501E-2</c:v>
                </c:pt>
                <c:pt idx="6">
                  <c:v>8.4876449548225874E-2</c:v>
                </c:pt>
                <c:pt idx="7">
                  <c:v>8.4309998577480241E-2</c:v>
                </c:pt>
                <c:pt idx="8">
                  <c:v>8.774779196849837E-2</c:v>
                </c:pt>
                <c:pt idx="9">
                  <c:v>9.0796649794996659E-2</c:v>
                </c:pt>
                <c:pt idx="10">
                  <c:v>9.2704300345907237E-2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3-4C1E-B275-AA29D918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26256"/>
        <c:axId val="1922637680"/>
      </c:lineChart>
      <c:catAx>
        <c:axId val="19226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7680"/>
        <c:crosses val="autoZero"/>
        <c:auto val="1"/>
        <c:lblAlgn val="ctr"/>
        <c:lblOffset val="100"/>
        <c:noMultiLvlLbl val="0"/>
      </c:catAx>
      <c:valAx>
        <c:axId val="192263768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</xdr:colOff>
      <xdr:row>0</xdr:row>
      <xdr:rowOff>59690</xdr:rowOff>
    </xdr:from>
    <xdr:ext cx="1482329" cy="35631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810" y="59690"/>
          <a:ext cx="1482329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珠江钢琴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使用说明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0</xdr:rowOff>
    </xdr:from>
    <xdr:to>
      <xdr:col>4</xdr:col>
      <xdr:colOff>0</xdr:colOff>
      <xdr:row>93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4</xdr:col>
      <xdr:colOff>0</xdr:colOff>
      <xdr:row>110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51940</xdr:rowOff>
    </xdr:from>
    <xdr:ext cx="1790105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51940"/>
          <a:ext cx="1790105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珠江钢琴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资产负债假设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62024</xdr:rowOff>
    </xdr:from>
    <xdr:ext cx="2559547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62024"/>
          <a:ext cx="255954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珠江钢琴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资本开支假设（百万元）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69758</xdr:rowOff>
    </xdr:from>
    <xdr:ext cx="1328441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69758"/>
          <a:ext cx="1328441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珠江钢琴</a:t>
          </a:r>
          <a:r>
            <a:rPr lang="en-US" altLang="zh-CN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利润表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53734</xdr:rowOff>
    </xdr:from>
    <xdr:ext cx="1636217" cy="35631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53734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珠江钢琴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资产负债表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62137</xdr:rowOff>
    </xdr:from>
    <xdr:ext cx="1636217" cy="35631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2137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珠江钢琴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现金流量表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65890</xdr:rowOff>
    </xdr:from>
    <xdr:ext cx="1784206" cy="35631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0" y="65890"/>
          <a:ext cx="1784206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珠江钢琴</a:t>
          </a:r>
          <a:r>
            <a:rPr lang="en-US" altLang="zh-CN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-DCF</a:t>
          </a:r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估值过程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51716</xdr:rowOff>
    </xdr:from>
    <xdr:ext cx="1784206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51716"/>
          <a:ext cx="1784206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珠江钢琴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-DCF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估值结果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8010;&#36130;&#36947;H/&#20844;&#21496;/&#28207;&#32929;/&#38134;&#22825;&#19979;/&#30005;&#21147;&#20844;&#21496;&#36130;&#21153;&#39044;&#27979;&#19982;&#20272;&#20540;&#27169;&#22411;-&#31572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9505-5B39-4DBD-A5C5-53C8CA13555F}">
  <sheetPr>
    <tabColor rgb="FF00B0F0"/>
  </sheetPr>
  <dimension ref="C1:J62"/>
  <sheetViews>
    <sheetView tabSelected="1" workbookViewId="0">
      <selection activeCell="G8" sqref="G8"/>
    </sheetView>
  </sheetViews>
  <sheetFormatPr defaultColWidth="9" defaultRowHeight="13.5"/>
  <cols>
    <col min="1" max="2" width="9" style="293"/>
    <col min="3" max="3" width="28.5" style="294" customWidth="1"/>
    <col min="4" max="4" width="30.125" style="293" customWidth="1"/>
    <col min="5" max="5" width="18.25" style="293" customWidth="1"/>
    <col min="6" max="6" width="13.75" style="293" customWidth="1"/>
    <col min="7" max="7" width="12.875" style="293" customWidth="1"/>
    <col min="8" max="16384" width="9" style="293"/>
  </cols>
  <sheetData>
    <row r="1" spans="3:10" s="295" customFormat="1" ht="20.100000000000001" customHeight="1">
      <c r="C1" s="296"/>
    </row>
    <row r="2" spans="3:10" s="295" customFormat="1" ht="20.100000000000001" customHeight="1">
      <c r="C2" s="296"/>
    </row>
    <row r="3" spans="3:10" s="295" customFormat="1" ht="27.95" customHeight="1">
      <c r="C3" s="387" t="s">
        <v>675</v>
      </c>
      <c r="D3" s="388"/>
      <c r="E3" s="388"/>
      <c r="F3" s="388"/>
      <c r="G3" s="388"/>
      <c r="H3" s="388"/>
      <c r="I3" s="388"/>
      <c r="J3" s="389"/>
    </row>
    <row r="4" spans="3:10" s="295" customFormat="1" ht="20.100000000000001" customHeight="1">
      <c r="C4" s="296"/>
    </row>
    <row r="5" spans="3:10" s="295" customFormat="1" ht="20.100000000000001" customHeight="1">
      <c r="C5" s="297" t="s">
        <v>659</v>
      </c>
      <c r="D5" s="298"/>
      <c r="E5" s="299"/>
      <c r="F5" s="298" t="s">
        <v>660</v>
      </c>
      <c r="G5" s="300" t="s">
        <v>717</v>
      </c>
      <c r="H5" s="299"/>
      <c r="I5" s="299"/>
      <c r="J5" s="301"/>
    </row>
    <row r="6" spans="3:10" s="295" customFormat="1" ht="20.100000000000001" customHeight="1">
      <c r="C6" s="302" t="s">
        <v>661</v>
      </c>
      <c r="D6" s="303">
        <v>43851</v>
      </c>
      <c r="E6" s="304"/>
      <c r="F6" s="305" t="s">
        <v>662</v>
      </c>
      <c r="G6" s="306" t="s">
        <v>716</v>
      </c>
      <c r="H6" s="304"/>
      <c r="I6" s="304"/>
      <c r="J6" s="307"/>
    </row>
    <row r="7" spans="3:10" s="295" customFormat="1" ht="20.100000000000001" customHeight="1">
      <c r="C7" s="308" t="s">
        <v>663</v>
      </c>
      <c r="D7" s="309" t="s">
        <v>674</v>
      </c>
      <c r="E7" s="310"/>
      <c r="F7" s="309" t="s">
        <v>664</v>
      </c>
      <c r="G7" s="311" t="s">
        <v>723</v>
      </c>
      <c r="H7" s="310"/>
      <c r="I7" s="310"/>
      <c r="J7" s="312"/>
    </row>
    <row r="8" spans="3:10" s="295" customFormat="1" ht="20.100000000000001" customHeight="1">
      <c r="C8" s="313"/>
      <c r="D8" s="304"/>
      <c r="E8" s="304"/>
      <c r="F8" s="304"/>
      <c r="G8" s="304"/>
      <c r="H8" s="304"/>
      <c r="I8" s="304"/>
      <c r="J8" s="304"/>
    </row>
    <row r="9" spans="3:10" s="295" customFormat="1" ht="20.100000000000001" customHeight="1">
      <c r="C9" s="313"/>
      <c r="D9" s="304"/>
      <c r="E9" s="304"/>
      <c r="F9" s="304"/>
      <c r="G9" s="304"/>
      <c r="H9" s="304"/>
      <c r="I9" s="304"/>
      <c r="J9" s="304"/>
    </row>
    <row r="10" spans="3:10" s="295" customFormat="1" ht="20.100000000000001" customHeight="1">
      <c r="C10" s="297" t="s">
        <v>665</v>
      </c>
      <c r="D10" s="314">
        <f ca="1">DCF估值!F47</f>
        <v>8.1551812203851117</v>
      </c>
      <c r="E10" s="299" t="s">
        <v>666</v>
      </c>
      <c r="F10" s="299">
        <f>DCF估值!F48</f>
        <v>8.11</v>
      </c>
      <c r="G10" s="299"/>
      <c r="H10" s="299"/>
      <c r="I10" s="299"/>
      <c r="J10" s="301"/>
    </row>
    <row r="11" spans="3:10" s="295" customFormat="1" ht="20.100000000000001" customHeight="1">
      <c r="C11" s="308" t="s">
        <v>667</v>
      </c>
      <c r="D11" s="315">
        <f ca="1">DCF估值!F42</f>
        <v>107.28059637698955</v>
      </c>
      <c r="E11" s="310" t="s">
        <v>668</v>
      </c>
      <c r="F11" s="316">
        <f ca="1">D10/F10-1</f>
        <v>5.5710506023567419E-3</v>
      </c>
      <c r="G11" s="310"/>
      <c r="H11" s="310"/>
      <c r="I11" s="310"/>
      <c r="J11" s="312"/>
    </row>
    <row r="12" spans="3:10" s="295" customFormat="1" ht="20.100000000000001" customHeight="1">
      <c r="C12" s="313"/>
      <c r="D12" s="304"/>
      <c r="E12" s="304"/>
      <c r="F12" s="304"/>
      <c r="G12" s="304"/>
      <c r="H12" s="304"/>
      <c r="I12" s="304"/>
      <c r="J12" s="304"/>
    </row>
    <row r="13" spans="3:10" s="295" customFormat="1" ht="20.100000000000001" customHeight="1">
      <c r="C13" s="297" t="s">
        <v>669</v>
      </c>
      <c r="D13" s="300" t="s">
        <v>722</v>
      </c>
      <c r="E13" s="299"/>
      <c r="F13" s="299"/>
      <c r="G13" s="299"/>
      <c r="H13" s="299"/>
      <c r="I13" s="299"/>
      <c r="J13" s="301"/>
    </row>
    <row r="14" spans="3:10" s="295" customFormat="1" ht="20.100000000000001" customHeight="1">
      <c r="C14" s="308" t="s">
        <v>670</v>
      </c>
      <c r="D14" s="311" t="s">
        <v>671</v>
      </c>
      <c r="E14" s="311"/>
      <c r="F14" s="311"/>
      <c r="G14" s="310"/>
      <c r="H14" s="310"/>
      <c r="I14" s="310"/>
      <c r="J14" s="312"/>
    </row>
    <row r="15" spans="3:10" s="295" customFormat="1" ht="20.100000000000001" customHeight="1">
      <c r="C15" s="296"/>
    </row>
    <row r="16" spans="3:10" s="295" customFormat="1" ht="20.100000000000001" customHeight="1">
      <c r="C16" s="296"/>
    </row>
    <row r="17" spans="3:10" s="295" customFormat="1" ht="20.100000000000001" customHeight="1">
      <c r="C17" s="297" t="s">
        <v>672</v>
      </c>
      <c r="D17" s="390" t="s">
        <v>673</v>
      </c>
      <c r="E17" s="390"/>
      <c r="F17" s="390"/>
      <c r="G17" s="390"/>
      <c r="H17" s="390"/>
      <c r="I17" s="390"/>
      <c r="J17" s="391"/>
    </row>
    <row r="18" spans="3:10" s="295" customFormat="1" ht="20.100000000000001" customHeight="1">
      <c r="C18" s="317"/>
      <c r="D18" s="392"/>
      <c r="E18" s="392"/>
      <c r="F18" s="392"/>
      <c r="G18" s="392"/>
      <c r="H18" s="392"/>
      <c r="I18" s="392"/>
      <c r="J18" s="393"/>
    </row>
    <row r="19" spans="3:10" s="295" customFormat="1" ht="20.100000000000001" customHeight="1">
      <c r="C19" s="317"/>
      <c r="D19" s="392"/>
      <c r="E19" s="392"/>
      <c r="F19" s="392"/>
      <c r="G19" s="392"/>
      <c r="H19" s="392"/>
      <c r="I19" s="392"/>
      <c r="J19" s="393"/>
    </row>
    <row r="20" spans="3:10" s="295" customFormat="1" ht="20.100000000000001" customHeight="1">
      <c r="C20" s="317"/>
      <c r="D20" s="392"/>
      <c r="E20" s="392"/>
      <c r="F20" s="392"/>
      <c r="G20" s="392"/>
      <c r="H20" s="392"/>
      <c r="I20" s="392"/>
      <c r="J20" s="393"/>
    </row>
    <row r="21" spans="3:10" s="295" customFormat="1" ht="20.100000000000001" customHeight="1">
      <c r="C21" s="317"/>
      <c r="D21" s="392"/>
      <c r="E21" s="392"/>
      <c r="F21" s="392"/>
      <c r="G21" s="392"/>
      <c r="H21" s="392"/>
      <c r="I21" s="392"/>
      <c r="J21" s="393"/>
    </row>
    <row r="22" spans="3:10" s="295" customFormat="1" ht="20.100000000000001" customHeight="1">
      <c r="C22" s="318"/>
      <c r="D22" s="394"/>
      <c r="E22" s="394"/>
      <c r="F22" s="394"/>
      <c r="G22" s="394"/>
      <c r="H22" s="394"/>
      <c r="I22" s="394"/>
      <c r="J22" s="395"/>
    </row>
    <row r="23" spans="3:10" s="295" customFormat="1" ht="20.100000000000001" customHeight="1">
      <c r="C23" s="296"/>
    </row>
    <row r="24" spans="3:10" s="295" customFormat="1" ht="20.100000000000001" customHeight="1">
      <c r="C24" s="296"/>
    </row>
    <row r="25" spans="3:10" s="295" customFormat="1" ht="20.100000000000001" customHeight="1">
      <c r="C25" s="296"/>
    </row>
    <row r="26" spans="3:10" s="295" customFormat="1" ht="20.100000000000001" customHeight="1">
      <c r="C26" s="296"/>
    </row>
    <row r="27" spans="3:10" s="295" customFormat="1" ht="20.100000000000001" customHeight="1">
      <c r="C27" s="296"/>
    </row>
    <row r="28" spans="3:10" s="295" customFormat="1" ht="20.100000000000001" customHeight="1">
      <c r="C28" s="296"/>
    </row>
    <row r="29" spans="3:10" s="396" customFormat="1"/>
    <row r="30" spans="3:10" s="396" customFormat="1"/>
    <row r="31" spans="3:10" s="396" customFormat="1"/>
    <row r="32" spans="3:10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</sheetData>
  <mergeCells count="3">
    <mergeCell ref="C3:J3"/>
    <mergeCell ref="D17:J22"/>
    <mergeCell ref="A29:XFD62"/>
  </mergeCells>
  <phoneticPr fontId="3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M27"/>
  <sheetViews>
    <sheetView showGridLines="0" zoomScale="85" zoomScaleNormal="85" workbookViewId="0">
      <pane ySplit="3" topLeftCell="A4" activePane="bottomLeft" state="frozen"/>
      <selection pane="bottomLeft" activeCell="F15" sqref="F15:J17"/>
    </sheetView>
  </sheetViews>
  <sheetFormatPr defaultColWidth="9" defaultRowHeight="13.5"/>
  <cols>
    <col min="1" max="1" width="4.125" customWidth="1"/>
    <col min="2" max="2" width="0.875" customWidth="1"/>
    <col min="4" max="4" width="14.125" customWidth="1"/>
    <col min="10" max="10" width="34.125" customWidth="1"/>
    <col min="11" max="11" width="0.875" customWidth="1"/>
  </cols>
  <sheetData>
    <row r="1" spans="2:13" s="199" customFormat="1" ht="12" customHeight="1"/>
    <row r="2" spans="2:13" s="197" customFormat="1" ht="12" customHeight="1">
      <c r="C2" s="200"/>
      <c r="D2" s="201"/>
      <c r="F2" s="202"/>
      <c r="H2" s="201"/>
      <c r="I2" s="201"/>
    </row>
    <row r="3" spans="2:13" s="197" customFormat="1" ht="12" customHeight="1">
      <c r="C3" s="200"/>
      <c r="D3" s="201"/>
      <c r="H3" s="201"/>
      <c r="I3" s="201"/>
      <c r="J3" s="203"/>
      <c r="K3" s="201"/>
      <c r="L3" s="201"/>
    </row>
    <row r="4" spans="2:13" s="164" customFormat="1" ht="23.1" customHeight="1">
      <c r="C4" s="165"/>
      <c r="D4" s="166"/>
      <c r="H4" s="166"/>
      <c r="I4" s="166"/>
      <c r="J4"/>
    </row>
    <row r="5" spans="2:13" s="164" customFormat="1" ht="6" customHeight="1">
      <c r="B5" s="197"/>
      <c r="C5" s="200"/>
      <c r="D5" s="201"/>
      <c r="E5" s="197"/>
      <c r="F5" s="197"/>
      <c r="G5" s="197"/>
      <c r="H5" s="201"/>
      <c r="I5" s="201"/>
      <c r="J5" s="201"/>
      <c r="K5" s="197"/>
    </row>
    <row r="6" spans="2:13" ht="24.95" customHeight="1">
      <c r="B6" s="204"/>
      <c r="C6" s="412" t="s">
        <v>0</v>
      </c>
      <c r="D6" s="413"/>
      <c r="E6" s="413"/>
      <c r="F6" s="413"/>
      <c r="G6" s="413"/>
      <c r="H6" s="413"/>
      <c r="I6" s="413"/>
      <c r="J6" s="414"/>
      <c r="K6" s="206"/>
      <c r="L6" s="174"/>
      <c r="M6" s="174"/>
    </row>
    <row r="7" spans="2:13" ht="24.95" customHeight="1">
      <c r="B7" s="204"/>
      <c r="C7" s="415" t="s">
        <v>1</v>
      </c>
      <c r="D7" s="398"/>
      <c r="E7" s="398"/>
      <c r="F7" s="398"/>
      <c r="G7" s="398"/>
      <c r="H7" s="398"/>
      <c r="I7" s="398"/>
      <c r="J7" s="399"/>
      <c r="K7" s="206"/>
      <c r="L7" s="174"/>
      <c r="M7" s="174"/>
    </row>
    <row r="8" spans="2:13" ht="24.95" customHeight="1">
      <c r="B8" s="204"/>
      <c r="C8" s="406"/>
      <c r="D8" s="407"/>
      <c r="E8" s="407"/>
      <c r="F8" s="407"/>
      <c r="G8" s="407"/>
      <c r="H8" s="407"/>
      <c r="I8" s="407"/>
      <c r="J8" s="408"/>
      <c r="K8" s="206"/>
      <c r="L8" s="174"/>
      <c r="M8" s="174"/>
    </row>
    <row r="9" spans="2:13" ht="24.95" customHeight="1">
      <c r="B9" s="204"/>
      <c r="C9" s="416" t="s">
        <v>2</v>
      </c>
      <c r="D9" s="417"/>
      <c r="E9" s="417"/>
      <c r="F9" s="417"/>
      <c r="G9" s="417"/>
      <c r="H9" s="417"/>
      <c r="I9" s="417"/>
      <c r="J9" s="418"/>
      <c r="K9" s="206"/>
      <c r="L9" s="174"/>
      <c r="M9" s="174"/>
    </row>
    <row r="10" spans="2:13" ht="24.95" customHeight="1">
      <c r="B10" s="204"/>
      <c r="C10" s="167">
        <v>1</v>
      </c>
      <c r="D10" s="168" t="s">
        <v>3</v>
      </c>
      <c r="E10" s="419" t="s">
        <v>4</v>
      </c>
      <c r="F10" s="420"/>
      <c r="G10" s="420"/>
      <c r="H10" s="420"/>
      <c r="I10" s="420"/>
      <c r="J10" s="421"/>
      <c r="K10" s="206"/>
      <c r="L10" s="174"/>
      <c r="M10" s="174"/>
    </row>
    <row r="11" spans="2:13" ht="24.95" customHeight="1">
      <c r="B11" s="204"/>
      <c r="C11" s="171">
        <v>1</v>
      </c>
      <c r="D11" s="168" t="s">
        <v>3</v>
      </c>
      <c r="E11" s="126" t="s">
        <v>5</v>
      </c>
      <c r="F11" s="169"/>
      <c r="G11" s="170"/>
      <c r="H11" s="170"/>
      <c r="I11" s="170"/>
      <c r="J11" s="175"/>
      <c r="K11" s="206"/>
      <c r="L11" s="174"/>
      <c r="M11" s="174"/>
    </row>
    <row r="12" spans="2:13" ht="24.95" customHeight="1">
      <c r="B12" s="204"/>
      <c r="C12" s="171"/>
      <c r="D12" s="168" t="s">
        <v>3</v>
      </c>
      <c r="E12" s="126" t="s">
        <v>6</v>
      </c>
      <c r="F12" s="169"/>
      <c r="G12" s="170"/>
      <c r="H12" s="170"/>
      <c r="I12" s="170"/>
      <c r="J12" s="175"/>
      <c r="K12" s="206"/>
      <c r="L12" s="174"/>
      <c r="M12" s="174"/>
    </row>
    <row r="13" spans="2:13" ht="24.95" customHeight="1">
      <c r="B13" s="204"/>
      <c r="C13" s="406"/>
      <c r="D13" s="407"/>
      <c r="E13" s="407"/>
      <c r="F13" s="407"/>
      <c r="G13" s="407"/>
      <c r="H13" s="407"/>
      <c r="I13" s="407"/>
      <c r="J13" s="408"/>
      <c r="K13" s="206"/>
      <c r="L13" s="174"/>
      <c r="M13" s="174"/>
    </row>
    <row r="14" spans="2:13" ht="24.95" customHeight="1">
      <c r="B14" s="204"/>
      <c r="C14" s="409" t="s">
        <v>7</v>
      </c>
      <c r="D14" s="410"/>
      <c r="E14" s="410"/>
      <c r="F14" s="410"/>
      <c r="G14" s="410"/>
      <c r="H14" s="410"/>
      <c r="I14" s="410"/>
      <c r="J14" s="411"/>
      <c r="K14" s="206"/>
      <c r="L14" s="174"/>
      <c r="M14" s="174"/>
    </row>
    <row r="15" spans="2:13" ht="24.95" customHeight="1">
      <c r="B15" s="204"/>
      <c r="C15" s="284" t="s">
        <v>8</v>
      </c>
      <c r="D15" s="172" t="s">
        <v>9</v>
      </c>
      <c r="E15" s="285" t="s">
        <v>676</v>
      </c>
      <c r="F15" s="400"/>
      <c r="G15" s="401"/>
      <c r="H15" s="401"/>
      <c r="I15" s="401"/>
      <c r="J15" s="401"/>
      <c r="K15" s="206"/>
      <c r="L15" s="174"/>
      <c r="M15" s="174"/>
    </row>
    <row r="16" spans="2:13" ht="24.95" customHeight="1">
      <c r="B16" s="204"/>
      <c r="C16" s="266" t="s">
        <v>10</v>
      </c>
      <c r="D16" s="172" t="s">
        <v>9</v>
      </c>
      <c r="E16" s="265" t="s">
        <v>677</v>
      </c>
      <c r="F16" s="402"/>
      <c r="G16" s="403"/>
      <c r="H16" s="403"/>
      <c r="I16" s="403"/>
      <c r="J16" s="403"/>
      <c r="K16" s="206"/>
      <c r="L16" s="174"/>
      <c r="M16" s="174"/>
    </row>
    <row r="17" spans="2:13" ht="24.95" customHeight="1">
      <c r="B17" s="204"/>
      <c r="C17" s="267" t="s">
        <v>11</v>
      </c>
      <c r="D17" s="172" t="s">
        <v>9</v>
      </c>
      <c r="E17" s="268" t="s">
        <v>678</v>
      </c>
      <c r="F17" s="404"/>
      <c r="G17" s="405"/>
      <c r="H17" s="405"/>
      <c r="I17" s="405"/>
      <c r="J17" s="405"/>
      <c r="K17" s="206"/>
      <c r="L17" s="174"/>
      <c r="M17" s="174"/>
    </row>
    <row r="18" spans="2:13" ht="24.95" customHeight="1">
      <c r="B18" s="204"/>
      <c r="C18" s="406"/>
      <c r="D18" s="407"/>
      <c r="E18" s="407"/>
      <c r="F18" s="407"/>
      <c r="G18" s="407"/>
      <c r="H18" s="407"/>
      <c r="I18" s="407"/>
      <c r="J18" s="408"/>
      <c r="K18" s="206"/>
      <c r="L18" s="174"/>
      <c r="M18" s="174"/>
    </row>
    <row r="19" spans="2:13" ht="24.95" customHeight="1">
      <c r="B19" s="204"/>
      <c r="C19" s="173" t="s">
        <v>12</v>
      </c>
      <c r="D19" s="169"/>
      <c r="E19" s="170"/>
      <c r="F19" s="170"/>
      <c r="G19" s="170"/>
      <c r="H19" s="170"/>
      <c r="I19" s="170"/>
      <c r="J19" s="175"/>
      <c r="K19" s="206"/>
      <c r="L19" s="174"/>
      <c r="M19" s="174"/>
    </row>
    <row r="20" spans="2:13" ht="24.95" customHeight="1">
      <c r="B20" s="204"/>
      <c r="C20" s="397" t="s">
        <v>13</v>
      </c>
      <c r="D20" s="398"/>
      <c r="E20" s="398"/>
      <c r="F20" s="398"/>
      <c r="G20" s="398"/>
      <c r="H20" s="398"/>
      <c r="I20" s="398"/>
      <c r="J20" s="399"/>
      <c r="K20" s="206"/>
      <c r="L20" s="174"/>
      <c r="M20" s="174"/>
    </row>
    <row r="21" spans="2:13" ht="24.95" customHeight="1">
      <c r="B21" s="204"/>
      <c r="C21" s="397" t="s">
        <v>14</v>
      </c>
      <c r="D21" s="398"/>
      <c r="E21" s="398"/>
      <c r="F21" s="398"/>
      <c r="G21" s="398"/>
      <c r="H21" s="398"/>
      <c r="I21" s="398"/>
      <c r="J21" s="399"/>
      <c r="K21" s="206"/>
      <c r="L21" s="174"/>
      <c r="M21" s="174"/>
    </row>
    <row r="22" spans="2:13" ht="24.95" customHeight="1">
      <c r="B22" s="204"/>
      <c r="C22" s="397" t="s">
        <v>15</v>
      </c>
      <c r="D22" s="398"/>
      <c r="E22" s="398"/>
      <c r="F22" s="398"/>
      <c r="G22" s="398"/>
      <c r="H22" s="398"/>
      <c r="I22" s="398"/>
      <c r="J22" s="399"/>
      <c r="K22" s="206"/>
      <c r="L22" s="174"/>
      <c r="M22" s="174"/>
    </row>
    <row r="23" spans="2:13" ht="24.95" customHeight="1">
      <c r="B23" s="204"/>
      <c r="C23" s="397" t="s">
        <v>16</v>
      </c>
      <c r="D23" s="398"/>
      <c r="E23" s="398"/>
      <c r="F23" s="398"/>
      <c r="G23" s="398"/>
      <c r="H23" s="398"/>
      <c r="I23" s="398"/>
      <c r="J23" s="399"/>
      <c r="K23" s="206"/>
      <c r="L23" s="174"/>
      <c r="M23" s="174"/>
    </row>
    <row r="24" spans="2:13" ht="24.95" customHeight="1">
      <c r="B24" s="204"/>
      <c r="C24" s="397" t="s">
        <v>17</v>
      </c>
      <c r="D24" s="398"/>
      <c r="E24" s="398"/>
      <c r="F24" s="398"/>
      <c r="G24" s="398"/>
      <c r="H24" s="398"/>
      <c r="I24" s="398"/>
      <c r="J24" s="399"/>
      <c r="K24" s="206"/>
      <c r="L24" s="174"/>
      <c r="M24" s="174"/>
    </row>
    <row r="25" spans="2:13" ht="24.95" customHeight="1">
      <c r="B25" s="204"/>
      <c r="C25" s="397" t="s">
        <v>18</v>
      </c>
      <c r="D25" s="398"/>
      <c r="E25" s="398"/>
      <c r="F25" s="398"/>
      <c r="G25" s="398"/>
      <c r="H25" s="398"/>
      <c r="I25" s="398"/>
      <c r="J25" s="399"/>
      <c r="K25" s="206"/>
      <c r="L25" s="174"/>
      <c r="M25" s="174"/>
    </row>
    <row r="26" spans="2:13" ht="6" customHeight="1">
      <c r="B26" s="204"/>
      <c r="C26" s="205"/>
      <c r="D26" s="205"/>
      <c r="E26" s="205"/>
      <c r="F26" s="205"/>
      <c r="G26" s="205"/>
      <c r="H26" s="205"/>
      <c r="I26" s="205"/>
      <c r="J26" s="206"/>
      <c r="K26" s="206"/>
      <c r="L26" s="174"/>
      <c r="M26" s="174"/>
    </row>
    <row r="27" spans="2:13">
      <c r="K27" s="174"/>
      <c r="L27" s="174"/>
      <c r="M27" s="174"/>
    </row>
  </sheetData>
  <mergeCells count="15">
    <mergeCell ref="C6:J6"/>
    <mergeCell ref="C7:J7"/>
    <mergeCell ref="C8:J8"/>
    <mergeCell ref="C9:J9"/>
    <mergeCell ref="E10:J10"/>
    <mergeCell ref="C13:J13"/>
    <mergeCell ref="C14:J14"/>
    <mergeCell ref="C18:J18"/>
    <mergeCell ref="C20:J20"/>
    <mergeCell ref="C21:J21"/>
    <mergeCell ref="C22:J22"/>
    <mergeCell ref="C23:J23"/>
    <mergeCell ref="C24:J24"/>
    <mergeCell ref="C25:J25"/>
    <mergeCell ref="F15:J17"/>
  </mergeCells>
  <phoneticPr fontId="39" type="noConversion"/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workbookViewId="0">
      <pane xSplit="1" ySplit="1" topLeftCell="B2" activePane="bottomRight" state="frozen"/>
      <selection pane="topRight"/>
      <selection pane="bottomLeft"/>
      <selection pane="bottomRight" activeCell="M11" sqref="M11"/>
    </sheetView>
  </sheetViews>
  <sheetFormatPr defaultColWidth="8.875" defaultRowHeight="13.5"/>
  <cols>
    <col min="1" max="1" width="18.5" style="143" customWidth="1"/>
    <col min="2" max="12" width="11.625" style="143" customWidth="1"/>
    <col min="13" max="16384" width="8.875" style="143"/>
  </cols>
  <sheetData>
    <row r="1" spans="1:12" ht="15.75" customHeight="1">
      <c r="A1" s="385" t="s">
        <v>721</v>
      </c>
      <c r="B1" s="207" t="s">
        <v>646</v>
      </c>
      <c r="C1" s="207" t="s">
        <v>19</v>
      </c>
      <c r="D1" s="207" t="s">
        <v>20</v>
      </c>
      <c r="E1" s="207" t="s">
        <v>21</v>
      </c>
      <c r="F1" s="208" t="s">
        <v>22</v>
      </c>
      <c r="G1" s="208" t="s">
        <v>23</v>
      </c>
      <c r="H1" s="208" t="s">
        <v>24</v>
      </c>
      <c r="I1" s="208" t="s">
        <v>25</v>
      </c>
      <c r="J1" s="208" t="s">
        <v>26</v>
      </c>
      <c r="K1" s="208" t="s">
        <v>27</v>
      </c>
      <c r="L1" s="208" t="s">
        <v>28</v>
      </c>
    </row>
    <row r="2" spans="1:12">
      <c r="A2" s="282" t="s">
        <v>29</v>
      </c>
      <c r="B2" s="144">
        <f>B8+B15+B22+B29+B36</f>
        <v>1421.7</v>
      </c>
      <c r="C2" s="144">
        <f t="shared" ref="C2:H2" si="0">C8+C15+C22+C29+C36</f>
        <v>1469.3200000000002</v>
      </c>
      <c r="D2" s="144">
        <f t="shared" si="0"/>
        <v>1469.95</v>
      </c>
      <c r="E2" s="144">
        <f t="shared" si="0"/>
        <v>1566.1899999999998</v>
      </c>
      <c r="F2" s="144">
        <f t="shared" si="0"/>
        <v>1790.2</v>
      </c>
      <c r="G2" s="144">
        <f>G8+G15+G22+G29+G36</f>
        <v>1974.56</v>
      </c>
      <c r="H2" s="144">
        <f t="shared" si="0"/>
        <v>2230.5565280131327</v>
      </c>
      <c r="I2" s="144">
        <f t="shared" ref="I2:L2" si="1">I8+I15+I22+I29+I36</f>
        <v>2645.6175034524299</v>
      </c>
      <c r="J2" s="144">
        <f t="shared" si="1"/>
        <v>3236.6843206034014</v>
      </c>
      <c r="K2" s="144">
        <f t="shared" si="1"/>
        <v>4021.0919932265233</v>
      </c>
      <c r="L2" s="144">
        <f t="shared" si="1"/>
        <v>5073.6652774429631</v>
      </c>
    </row>
    <row r="3" spans="1:12">
      <c r="A3" s="271" t="s">
        <v>30</v>
      </c>
      <c r="B3" s="153"/>
      <c r="C3" s="153">
        <f t="shared" ref="C3" si="2">C2/B2-1</f>
        <v>3.3495111486248952E-2</v>
      </c>
      <c r="D3" s="153">
        <f t="shared" ref="D3" si="3">D2/C2-1</f>
        <v>4.2876977105055225E-4</v>
      </c>
      <c r="E3" s="153">
        <f t="shared" ref="E3" si="4">E2/D2-1</f>
        <v>6.5471614680771228E-2</v>
      </c>
      <c r="F3" s="153">
        <f t="shared" ref="F3" si="5">F2/E2-1</f>
        <v>0.14302862360250046</v>
      </c>
      <c r="G3" s="153">
        <f t="shared" ref="G3" si="6">G2/F2-1</f>
        <v>0.10298290693777234</v>
      </c>
      <c r="H3" s="153">
        <f t="shared" ref="H3" si="7">H2/G2-1</f>
        <v>0.12964737866316178</v>
      </c>
      <c r="I3" s="153">
        <f t="shared" ref="I3" si="8">I2/H2-1</f>
        <v>0.18607955917127672</v>
      </c>
      <c r="J3" s="153">
        <f t="shared" ref="J3" si="9">J2/I2-1</f>
        <v>0.22341355709192734</v>
      </c>
      <c r="K3" s="153">
        <f t="shared" ref="K3" si="10">K2/J2-1</f>
        <v>0.24234914342121816</v>
      </c>
      <c r="L3" s="153">
        <f t="shared" ref="L3" si="11">L2/K2-1</f>
        <v>0.26176304496129044</v>
      </c>
    </row>
    <row r="4" spans="1:12">
      <c r="A4" s="282" t="s">
        <v>31</v>
      </c>
      <c r="B4" s="151">
        <f t="shared" ref="B4:G4" si="12">B11+B18+B25+B32+B39</f>
        <v>976.68000000000006</v>
      </c>
      <c r="C4" s="151">
        <f t="shared" si="12"/>
        <v>1050.5899999999999</v>
      </c>
      <c r="D4" s="151">
        <f t="shared" si="12"/>
        <v>1048.22</v>
      </c>
      <c r="E4" s="151">
        <f t="shared" si="12"/>
        <v>1080.79</v>
      </c>
      <c r="F4" s="151">
        <f t="shared" si="12"/>
        <v>1203.4299999999998</v>
      </c>
      <c r="G4" s="151">
        <f t="shared" si="12"/>
        <v>1356.08</v>
      </c>
      <c r="H4" s="151">
        <f>H11+H18+H25+H32+H39</f>
        <v>1522.5969485272717</v>
      </c>
      <c r="I4" s="151">
        <f t="shared" ref="I4:L4" si="13">I11+I18+I25+I32+I39</f>
        <v>1791.8112312703729</v>
      </c>
      <c r="J4" s="151">
        <f t="shared" si="13"/>
        <v>2170.9602231483327</v>
      </c>
      <c r="K4" s="151">
        <f t="shared" si="13"/>
        <v>2674.0424229728942</v>
      </c>
      <c r="L4" s="151">
        <f t="shared" si="13"/>
        <v>3354.131499720329</v>
      </c>
    </row>
    <row r="5" spans="1:12">
      <c r="A5" s="271" t="s">
        <v>30</v>
      </c>
      <c r="B5" s="153"/>
      <c r="C5" s="153">
        <f t="shared" ref="C5" si="14">(C4-B4)/B4</f>
        <v>7.5674734815906794E-2</v>
      </c>
      <c r="D5" s="153">
        <f t="shared" ref="D5" si="15">(D4-C4)/C4</f>
        <v>-2.2558752700862286E-3</v>
      </c>
      <c r="E5" s="153">
        <f t="shared" ref="E5" si="16">(E4-D4)/D4</f>
        <v>3.1071721585163359E-2</v>
      </c>
      <c r="F5" s="153">
        <f t="shared" ref="F5" si="17">(F4-E4)/E4</f>
        <v>0.11347255248475641</v>
      </c>
      <c r="G5" s="153">
        <f t="shared" ref="G5" si="18">(G4-F4)/F4</f>
        <v>0.12684576585260474</v>
      </c>
      <c r="H5" s="153">
        <f>H4/G4-1</f>
        <v>0.12279286511656529</v>
      </c>
      <c r="I5" s="153">
        <f t="shared" ref="I5:L5" si="19">I4/H4-1</f>
        <v>0.17681257210156498</v>
      </c>
      <c r="J5" s="153">
        <f t="shared" si="19"/>
        <v>0.21160096848435739</v>
      </c>
      <c r="K5" s="153">
        <f t="shared" si="19"/>
        <v>0.23173257366041944</v>
      </c>
      <c r="L5" s="153">
        <f t="shared" si="19"/>
        <v>0.25432995037952266</v>
      </c>
    </row>
    <row r="6" spans="1:12">
      <c r="A6" s="282" t="s">
        <v>645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1:12">
      <c r="A7" s="271" t="s">
        <v>679</v>
      </c>
      <c r="B7" s="144"/>
      <c r="C7" s="144"/>
      <c r="D7" s="144"/>
      <c r="E7" s="151"/>
      <c r="F7" s="151"/>
      <c r="G7" s="151"/>
      <c r="H7" s="151"/>
      <c r="I7" s="151"/>
      <c r="J7" s="151"/>
      <c r="K7" s="151"/>
      <c r="L7" s="151"/>
    </row>
    <row r="8" spans="1:12">
      <c r="A8" s="271" t="s">
        <v>32</v>
      </c>
      <c r="B8" s="145">
        <v>1374.74</v>
      </c>
      <c r="C8" s="145">
        <v>1398.01</v>
      </c>
      <c r="D8" s="145">
        <v>1374.77</v>
      </c>
      <c r="E8" s="145">
        <v>1521.06</v>
      </c>
      <c r="F8" s="145">
        <v>1719.98</v>
      </c>
      <c r="G8" s="145">
        <v>1901.01</v>
      </c>
      <c r="H8" s="145">
        <f>G8*(1+H9)</f>
        <v>2138.63625</v>
      </c>
      <c r="I8" s="145">
        <f t="shared" ref="I8:L8" si="20">H8*(1+I9)</f>
        <v>2534.2839562500003</v>
      </c>
      <c r="J8" s="145">
        <f t="shared" si="20"/>
        <v>3104.4978464062506</v>
      </c>
      <c r="K8" s="145">
        <f t="shared" si="20"/>
        <v>3865.0998187757823</v>
      </c>
      <c r="L8" s="145">
        <f t="shared" si="20"/>
        <v>4889.3512707513655</v>
      </c>
    </row>
    <row r="9" spans="1:12">
      <c r="A9" s="271" t="s">
        <v>30</v>
      </c>
      <c r="B9" s="153"/>
      <c r="C9" s="153">
        <f t="shared" ref="C9" si="21">C8/B8-1</f>
        <v>1.6926837074646928E-2</v>
      </c>
      <c r="D9" s="153">
        <f t="shared" ref="D9" si="22">D8/C8-1</f>
        <v>-1.6623629301650178E-2</v>
      </c>
      <c r="E9" s="153">
        <f t="shared" ref="E9" si="23">E8/D8-1</f>
        <v>0.10641052685176433</v>
      </c>
      <c r="F9" s="153">
        <f t="shared" ref="F9" si="24">F8/E8-1</f>
        <v>0.13077722114840973</v>
      </c>
      <c r="G9" s="153">
        <f t="shared" ref="G9" si="25">G8/F8-1</f>
        <v>0.10525122385144003</v>
      </c>
      <c r="H9" s="159">
        <v>0.125</v>
      </c>
      <c r="I9" s="159">
        <f>H9+6%</f>
        <v>0.185</v>
      </c>
      <c r="J9" s="159">
        <f>I9+4%</f>
        <v>0.22500000000000001</v>
      </c>
      <c r="K9" s="159">
        <f>J9+2%</f>
        <v>0.245</v>
      </c>
      <c r="L9" s="159">
        <f>K9+2%</f>
        <v>0.26500000000000001</v>
      </c>
    </row>
    <row r="10" spans="1:12">
      <c r="A10" s="271" t="s">
        <v>33</v>
      </c>
      <c r="B10" s="153">
        <f t="shared" ref="B10:L10" si="26">B8/B2</f>
        <v>0.96696912147429137</v>
      </c>
      <c r="C10" s="153">
        <f t="shared" si="26"/>
        <v>0.95146734543870626</v>
      </c>
      <c r="D10" s="153">
        <f t="shared" si="26"/>
        <v>0.93524949828225445</v>
      </c>
      <c r="E10" s="153">
        <f t="shared" si="26"/>
        <v>0.97118484985857412</v>
      </c>
      <c r="F10" s="153">
        <f t="shared" si="26"/>
        <v>0.96077533236509882</v>
      </c>
      <c r="G10" s="153">
        <f t="shared" si="26"/>
        <v>0.96275119520298191</v>
      </c>
      <c r="H10" s="153">
        <f t="shared" si="26"/>
        <v>0.95879042881956877</v>
      </c>
      <c r="I10" s="153">
        <f t="shared" si="26"/>
        <v>0.95791774621344783</v>
      </c>
      <c r="J10" s="153">
        <f t="shared" si="26"/>
        <v>0.95915991146998614</v>
      </c>
      <c r="K10" s="153">
        <f t="shared" si="26"/>
        <v>0.96120651437134297</v>
      </c>
      <c r="L10" s="153">
        <f t="shared" si="26"/>
        <v>0.96367241498743716</v>
      </c>
    </row>
    <row r="11" spans="1:12">
      <c r="A11" s="271" t="s">
        <v>34</v>
      </c>
      <c r="B11" s="156">
        <v>946.91</v>
      </c>
      <c r="C11" s="156">
        <v>1003.61</v>
      </c>
      <c r="D11" s="156">
        <v>985.08</v>
      </c>
      <c r="E11" s="157">
        <v>1067.43</v>
      </c>
      <c r="F11" s="157">
        <v>1152.33</v>
      </c>
      <c r="G11" s="157">
        <v>1302.6600000000001</v>
      </c>
      <c r="H11" s="157">
        <f t="shared" ref="H11" si="27">H8-H12</f>
        <v>1454.70037725</v>
      </c>
      <c r="I11" s="157">
        <f t="shared" ref="I11:L11" si="28">I8-I12</f>
        <v>1708.6142433037501</v>
      </c>
      <c r="J11" s="157">
        <f t="shared" si="28"/>
        <v>2071.3209631222503</v>
      </c>
      <c r="K11" s="157">
        <f t="shared" si="28"/>
        <v>2555.6040001745469</v>
      </c>
      <c r="L11" s="157">
        <f t="shared" si="28"/>
        <v>3213.2816551377973</v>
      </c>
    </row>
    <row r="12" spans="1:12">
      <c r="A12" s="271" t="s">
        <v>35</v>
      </c>
      <c r="B12" s="158">
        <v>427.83</v>
      </c>
      <c r="C12" s="158">
        <v>394.4</v>
      </c>
      <c r="D12" s="158">
        <v>389.69</v>
      </c>
      <c r="E12" s="158">
        <v>453.63</v>
      </c>
      <c r="F12" s="158">
        <v>567.65</v>
      </c>
      <c r="G12" s="158">
        <v>598.35</v>
      </c>
      <c r="H12" s="158">
        <f>H8*H13</f>
        <v>683.93587275000004</v>
      </c>
      <c r="I12" s="158">
        <f t="shared" ref="I12:L12" si="29">I8*I13</f>
        <v>825.66971294625023</v>
      </c>
      <c r="J12" s="158">
        <f t="shared" si="29"/>
        <v>1033.1768832840003</v>
      </c>
      <c r="K12" s="158">
        <f t="shared" si="29"/>
        <v>1309.4958186012352</v>
      </c>
      <c r="L12" s="158">
        <f t="shared" si="29"/>
        <v>1676.0696156135684</v>
      </c>
    </row>
    <row r="13" spans="1:12">
      <c r="A13" s="271" t="s">
        <v>36</v>
      </c>
      <c r="B13" s="160">
        <v>0.31120000000000003</v>
      </c>
      <c r="C13" s="160">
        <v>0.28210000000000002</v>
      </c>
      <c r="D13" s="160">
        <v>0.28350000000000003</v>
      </c>
      <c r="E13" s="160">
        <v>0.29820000000000002</v>
      </c>
      <c r="F13" s="160">
        <v>0.33</v>
      </c>
      <c r="G13" s="160">
        <v>0.31480000000000002</v>
      </c>
      <c r="H13" s="159">
        <f>G13+0.5%</f>
        <v>0.31980000000000003</v>
      </c>
      <c r="I13" s="159">
        <f>H13+0.6%</f>
        <v>0.32580000000000003</v>
      </c>
      <c r="J13" s="159">
        <f>I13+0.7%</f>
        <v>0.33280000000000004</v>
      </c>
      <c r="K13" s="159">
        <f>J13+0.6%</f>
        <v>0.33880000000000005</v>
      </c>
      <c r="L13" s="159">
        <f>K13+0.4%</f>
        <v>0.34280000000000005</v>
      </c>
    </row>
    <row r="14" spans="1:12">
      <c r="A14" s="271" t="s">
        <v>680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>
      <c r="A15" s="271" t="s">
        <v>32</v>
      </c>
      <c r="B15" s="144"/>
      <c r="C15" s="144"/>
      <c r="D15" s="144"/>
      <c r="E15" s="151">
        <v>19.29</v>
      </c>
      <c r="F15" s="151">
        <v>47.21</v>
      </c>
      <c r="G15" s="151">
        <v>62.95</v>
      </c>
      <c r="H15" s="151">
        <f>G15*(1+H16)</f>
        <v>80.790278013132806</v>
      </c>
      <c r="I15" s="151">
        <f t="shared" ref="I15:L15" si="30">H15*(1+I16)</f>
        <v>99.647047202429775</v>
      </c>
      <c r="J15" s="151">
        <f t="shared" si="30"/>
        <v>119.91564919715066</v>
      </c>
      <c r="K15" s="151">
        <f t="shared" si="30"/>
        <v>143.10780820074109</v>
      </c>
      <c r="L15" s="151">
        <f t="shared" si="30"/>
        <v>170.7854221290971</v>
      </c>
    </row>
    <row r="16" spans="1:12">
      <c r="A16" s="271" t="s">
        <v>30</v>
      </c>
      <c r="B16" s="153"/>
      <c r="C16" s="153"/>
      <c r="D16" s="153"/>
      <c r="E16" s="153"/>
      <c r="F16" s="153">
        <f t="shared" ref="F16:G16" si="31">F15/E15-1</f>
        <v>1.4473820632452048</v>
      </c>
      <c r="G16" s="153">
        <f t="shared" si="31"/>
        <v>0.33340393984325356</v>
      </c>
      <c r="H16" s="179">
        <f>G16-5%</f>
        <v>0.28340393984325357</v>
      </c>
      <c r="I16" s="179">
        <f>H16-5%</f>
        <v>0.23340393984325358</v>
      </c>
      <c r="J16" s="179">
        <f>I16-3%</f>
        <v>0.20340393984325358</v>
      </c>
      <c r="K16" s="179">
        <f>J16-1%</f>
        <v>0.19340393984325358</v>
      </c>
      <c r="L16" s="179">
        <f>K16</f>
        <v>0.19340393984325358</v>
      </c>
    </row>
    <row r="17" spans="1:12">
      <c r="A17" s="271" t="s">
        <v>33</v>
      </c>
      <c r="B17" s="153"/>
      <c r="C17" s="153"/>
      <c r="D17" s="153"/>
      <c r="E17" s="153">
        <f t="shared" ref="E17:G17" si="32">E15/E2</f>
        <v>1.2316513322138439E-2</v>
      </c>
      <c r="F17" s="153">
        <f t="shared" si="32"/>
        <v>2.6371355155848507E-2</v>
      </c>
      <c r="G17" s="153">
        <f t="shared" si="32"/>
        <v>3.1880520217162304E-2</v>
      </c>
      <c r="H17" s="153">
        <f>H15/H2</f>
        <v>3.621978506193551E-2</v>
      </c>
      <c r="I17" s="153">
        <f>I15/I2</f>
        <v>3.7664948569622853E-2</v>
      </c>
      <c r="J17" s="153">
        <f>J15/J2</f>
        <v>3.7048917138386636E-2</v>
      </c>
      <c r="K17" s="153">
        <f>K15/K2</f>
        <v>3.5589289785412599E-2</v>
      </c>
      <c r="L17" s="153">
        <f>L15/L2</f>
        <v>3.3661152793896941E-2</v>
      </c>
    </row>
    <row r="18" spans="1:12">
      <c r="A18" s="271" t="s">
        <v>34</v>
      </c>
      <c r="B18" s="145"/>
      <c r="C18" s="145"/>
      <c r="D18" s="145"/>
      <c r="E18" s="145">
        <v>8.83</v>
      </c>
      <c r="F18" s="145">
        <v>47.02</v>
      </c>
      <c r="G18" s="145">
        <v>50.58</v>
      </c>
      <c r="H18" s="145">
        <f>H15-H19</f>
        <v>64.914571277271762</v>
      </c>
      <c r="I18" s="145">
        <f t="shared" ref="I18:L18" si="33">I15-I19</f>
        <v>80.065887966622682</v>
      </c>
      <c r="J18" s="145">
        <f t="shared" si="33"/>
        <v>96.351605026082296</v>
      </c>
      <c r="K18" s="145">
        <f t="shared" si="33"/>
        <v>114.98638504834764</v>
      </c>
      <c r="L18" s="145">
        <f t="shared" si="33"/>
        <v>137.22520494503146</v>
      </c>
    </row>
    <row r="19" spans="1:12">
      <c r="A19" s="271" t="s">
        <v>35</v>
      </c>
      <c r="B19" s="144"/>
      <c r="C19" s="144"/>
      <c r="D19" s="144"/>
      <c r="E19" s="144">
        <v>10.46</v>
      </c>
      <c r="F19" s="144">
        <v>0.18</v>
      </c>
      <c r="G19" s="144">
        <v>12.37</v>
      </c>
      <c r="H19" s="151">
        <f>H15*H20</f>
        <v>15.875706735861044</v>
      </c>
      <c r="I19" s="151">
        <f t="shared" ref="I19:L19" si="34">I15*I20</f>
        <v>19.581159235807089</v>
      </c>
      <c r="J19" s="151">
        <f t="shared" si="34"/>
        <v>23.564044171068364</v>
      </c>
      <c r="K19" s="151">
        <f t="shared" si="34"/>
        <v>28.12142315239344</v>
      </c>
      <c r="L19" s="151">
        <f t="shared" si="34"/>
        <v>33.560217184065621</v>
      </c>
    </row>
    <row r="20" spans="1:12">
      <c r="A20" s="271" t="s">
        <v>36</v>
      </c>
      <c r="B20" s="161"/>
      <c r="C20" s="161"/>
      <c r="D20" s="161"/>
      <c r="E20" s="161">
        <f t="shared" ref="E20:G20" si="35">E19/E15</f>
        <v>0.54224987039917061</v>
      </c>
      <c r="F20" s="161">
        <f t="shared" si="35"/>
        <v>3.8127515356915906E-3</v>
      </c>
      <c r="G20" s="161">
        <f t="shared" si="35"/>
        <v>0.19650516282764097</v>
      </c>
      <c r="H20" s="159">
        <f>G20</f>
        <v>0.19650516282764097</v>
      </c>
      <c r="I20" s="159">
        <f>H20</f>
        <v>0.19650516282764097</v>
      </c>
      <c r="J20" s="159">
        <f t="shared" ref="J20:L20" si="36">I20</f>
        <v>0.19650516282764097</v>
      </c>
      <c r="K20" s="159">
        <f t="shared" si="36"/>
        <v>0.19650516282764097</v>
      </c>
      <c r="L20" s="159">
        <f t="shared" si="36"/>
        <v>0.19650516282764097</v>
      </c>
    </row>
    <row r="21" spans="1:12">
      <c r="A21" s="271" t="s">
        <v>681</v>
      </c>
      <c r="B21" s="144"/>
      <c r="C21" s="144"/>
      <c r="D21" s="144"/>
      <c r="E21" s="151"/>
      <c r="F21" s="151"/>
      <c r="G21" s="151"/>
      <c r="H21" s="151"/>
      <c r="I21" s="151"/>
      <c r="J21" s="151"/>
      <c r="K21" s="151"/>
      <c r="L21" s="151"/>
    </row>
    <row r="22" spans="1:12">
      <c r="A22" s="271" t="s">
        <v>32</v>
      </c>
      <c r="B22" s="145">
        <v>33</v>
      </c>
      <c r="C22" s="145">
        <v>52.41</v>
      </c>
      <c r="D22" s="145">
        <v>73.790000000000006</v>
      </c>
      <c r="E22" s="145"/>
      <c r="F22" s="145"/>
      <c r="G22" s="145"/>
      <c r="H22" s="145"/>
      <c r="I22" s="145"/>
      <c r="J22" s="145"/>
      <c r="K22" s="145"/>
      <c r="L22" s="145"/>
    </row>
    <row r="23" spans="1:12">
      <c r="A23" s="271" t="s">
        <v>30</v>
      </c>
      <c r="B23" s="153"/>
      <c r="C23" s="153">
        <f t="shared" ref="C23" si="37">C22/B22-1</f>
        <v>0.58818181818181814</v>
      </c>
      <c r="D23" s="153">
        <f t="shared" ref="D23" si="38">D22/C22-1</f>
        <v>0.40793741652356452</v>
      </c>
      <c r="E23" s="153"/>
      <c r="F23" s="153"/>
      <c r="G23" s="153"/>
      <c r="H23" s="153"/>
      <c r="I23" s="153"/>
      <c r="J23" s="153"/>
      <c r="K23" s="153"/>
      <c r="L23" s="153"/>
    </row>
    <row r="24" spans="1:12">
      <c r="A24" s="271" t="s">
        <v>33</v>
      </c>
      <c r="B24" s="153">
        <f>B22/B2</f>
        <v>2.3211648027009917E-2</v>
      </c>
      <c r="C24" s="153">
        <f t="shared" ref="C24:D24" si="39">C22/C2</f>
        <v>3.5669561429777036E-2</v>
      </c>
      <c r="D24" s="153">
        <f t="shared" si="39"/>
        <v>5.0198986360080279E-2</v>
      </c>
      <c r="E24" s="153"/>
      <c r="F24" s="153"/>
      <c r="G24" s="153"/>
      <c r="H24" s="153"/>
      <c r="I24" s="153"/>
      <c r="J24" s="153"/>
      <c r="K24" s="153"/>
      <c r="L24" s="153"/>
    </row>
    <row r="25" spans="1:12">
      <c r="A25" s="271" t="s">
        <v>34</v>
      </c>
      <c r="B25" s="144">
        <v>24.86</v>
      </c>
      <c r="C25" s="144">
        <v>39.200000000000003</v>
      </c>
      <c r="D25" s="144">
        <v>56.25</v>
      </c>
      <c r="E25" s="144"/>
      <c r="F25" s="144"/>
      <c r="G25" s="144"/>
      <c r="H25" s="144"/>
      <c r="I25" s="144"/>
      <c r="J25" s="144"/>
      <c r="K25" s="144"/>
      <c r="L25" s="144"/>
    </row>
    <row r="26" spans="1:12">
      <c r="A26" s="271" t="s">
        <v>35</v>
      </c>
      <c r="B26" s="145">
        <v>8.14</v>
      </c>
      <c r="C26" s="145">
        <v>13.21</v>
      </c>
      <c r="D26" s="145">
        <v>17.54</v>
      </c>
      <c r="E26" s="145"/>
      <c r="F26" s="145"/>
      <c r="G26" s="145"/>
      <c r="H26" s="145"/>
      <c r="I26" s="145"/>
      <c r="J26" s="145"/>
      <c r="K26" s="145"/>
      <c r="L26" s="145"/>
    </row>
    <row r="27" spans="1:12">
      <c r="A27" s="271" t="s">
        <v>36</v>
      </c>
      <c r="B27" s="160">
        <f>B26/B22</f>
        <v>0.24666666666666667</v>
      </c>
      <c r="C27" s="160">
        <f t="shared" ref="C27:D27" si="40">C26/C22</f>
        <v>0.25205113527952683</v>
      </c>
      <c r="D27" s="160">
        <f t="shared" si="40"/>
        <v>0.23770158558070195</v>
      </c>
      <c r="E27" s="160"/>
      <c r="F27" s="160"/>
      <c r="G27" s="160"/>
      <c r="H27" s="160"/>
      <c r="I27" s="160"/>
      <c r="J27" s="160"/>
      <c r="K27" s="160"/>
      <c r="L27" s="160"/>
    </row>
    <row r="28" spans="1:12">
      <c r="A28" s="271" t="s">
        <v>682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>
      <c r="A29" s="271" t="s">
        <v>37</v>
      </c>
      <c r="B29" s="144">
        <v>4.83</v>
      </c>
      <c r="C29" s="144">
        <v>7.23</v>
      </c>
      <c r="D29" s="144">
        <v>2.69</v>
      </c>
      <c r="E29" s="151"/>
      <c r="F29" s="151"/>
      <c r="G29" s="151"/>
      <c r="H29" s="151"/>
      <c r="I29" s="151"/>
      <c r="J29" s="151"/>
      <c r="K29" s="151"/>
      <c r="L29" s="151"/>
    </row>
    <row r="30" spans="1:12">
      <c r="A30" s="271" t="s">
        <v>30</v>
      </c>
      <c r="B30" s="153"/>
      <c r="C30" s="153">
        <f t="shared" ref="C30:D30" si="41">C29/B29-1</f>
        <v>0.49689440993788825</v>
      </c>
      <c r="D30" s="153">
        <f t="shared" si="41"/>
        <v>-0.62793914246196403</v>
      </c>
      <c r="E30" s="153"/>
      <c r="F30" s="153"/>
      <c r="G30" s="153"/>
      <c r="H30" s="153"/>
      <c r="I30" s="153"/>
      <c r="J30" s="153"/>
      <c r="K30" s="153"/>
      <c r="L30" s="153"/>
    </row>
    <row r="31" spans="1:12">
      <c r="A31" s="271" t="s">
        <v>38</v>
      </c>
      <c r="B31" s="162">
        <f t="shared" ref="B31:D31" si="42">B29/B2</f>
        <v>3.3973412112259971E-3</v>
      </c>
      <c r="C31" s="162">
        <f t="shared" si="42"/>
        <v>4.9206435630087383E-3</v>
      </c>
      <c r="D31" s="162">
        <f t="shared" si="42"/>
        <v>1.8299942174903906E-3</v>
      </c>
      <c r="E31" s="162"/>
      <c r="F31" s="162"/>
      <c r="G31" s="162"/>
      <c r="H31" s="162"/>
      <c r="I31" s="162"/>
      <c r="J31" s="162"/>
      <c r="K31" s="162"/>
      <c r="L31" s="162"/>
    </row>
    <row r="32" spans="1:12">
      <c r="A32" s="271" t="s">
        <v>39</v>
      </c>
      <c r="B32" s="145">
        <v>2.83</v>
      </c>
      <c r="C32" s="145">
        <v>5.86</v>
      </c>
      <c r="D32" s="145">
        <v>1.68</v>
      </c>
      <c r="E32" s="145"/>
      <c r="F32" s="145"/>
      <c r="G32" s="145"/>
      <c r="H32" s="145"/>
      <c r="I32" s="145"/>
      <c r="J32" s="145"/>
      <c r="K32" s="145"/>
      <c r="L32" s="145"/>
    </row>
    <row r="33" spans="1:12">
      <c r="A33" s="271" t="s">
        <v>40</v>
      </c>
      <c r="B33" s="144">
        <v>2</v>
      </c>
      <c r="C33" s="144">
        <v>1.36</v>
      </c>
      <c r="D33" s="144">
        <v>1.01</v>
      </c>
      <c r="E33" s="144"/>
      <c r="F33" s="144"/>
      <c r="G33" s="144"/>
      <c r="H33" s="144"/>
      <c r="I33" s="144"/>
      <c r="J33" s="144"/>
      <c r="K33" s="144"/>
      <c r="L33" s="144"/>
    </row>
    <row r="34" spans="1:12">
      <c r="A34" s="271" t="s">
        <v>41</v>
      </c>
      <c r="B34" s="161">
        <f>B33/B29</f>
        <v>0.41407867494824013</v>
      </c>
      <c r="C34" s="161">
        <f t="shared" ref="C34:D34" si="43">C33/C29</f>
        <v>0.18810511756569848</v>
      </c>
      <c r="D34" s="161">
        <f t="shared" si="43"/>
        <v>0.37546468401486988</v>
      </c>
      <c r="E34" s="161"/>
      <c r="F34" s="161"/>
      <c r="G34" s="161"/>
      <c r="H34" s="161"/>
      <c r="I34" s="161"/>
      <c r="J34" s="161"/>
      <c r="K34" s="161"/>
      <c r="L34" s="161"/>
    </row>
    <row r="35" spans="1:12">
      <c r="A35" s="271" t="s">
        <v>683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">
      <c r="A36" s="271" t="s">
        <v>32</v>
      </c>
      <c r="B36" s="144">
        <v>9.1300000000000008</v>
      </c>
      <c r="C36" s="144">
        <v>11.67</v>
      </c>
      <c r="D36" s="144">
        <v>18.7</v>
      </c>
      <c r="E36" s="151">
        <v>25.84</v>
      </c>
      <c r="F36" s="151">
        <v>23.01</v>
      </c>
      <c r="G36" s="151">
        <v>10.6</v>
      </c>
      <c r="H36" s="151">
        <f>G36*(H37+1)</f>
        <v>11.13</v>
      </c>
      <c r="I36" s="151">
        <f t="shared" ref="I36:L36" si="44">H36*(I37+1)</f>
        <v>11.686500000000001</v>
      </c>
      <c r="J36" s="151">
        <f t="shared" si="44"/>
        <v>12.270825</v>
      </c>
      <c r="K36" s="151">
        <f t="shared" si="44"/>
        <v>12.884366250000001</v>
      </c>
      <c r="L36" s="151">
        <f t="shared" si="44"/>
        <v>13.528584562500003</v>
      </c>
    </row>
    <row r="37" spans="1:12">
      <c r="A37" s="271" t="s">
        <v>30</v>
      </c>
      <c r="B37" s="153"/>
      <c r="C37" s="153">
        <f t="shared" ref="C37:G37" si="45">C36/B36-1</f>
        <v>0.27820372398685644</v>
      </c>
      <c r="D37" s="153">
        <f t="shared" si="45"/>
        <v>0.60239931448157669</v>
      </c>
      <c r="E37" s="153">
        <f t="shared" si="45"/>
        <v>0.38181818181818183</v>
      </c>
      <c r="F37" s="153">
        <f t="shared" si="45"/>
        <v>-0.10952012383900922</v>
      </c>
      <c r="G37" s="153">
        <f t="shared" si="45"/>
        <v>-0.53933072577140373</v>
      </c>
      <c r="H37" s="154">
        <v>0.05</v>
      </c>
      <c r="I37" s="154">
        <v>0.05</v>
      </c>
      <c r="J37" s="154">
        <v>0.05</v>
      </c>
      <c r="K37" s="154">
        <v>0.05</v>
      </c>
      <c r="L37" s="154">
        <v>0.05</v>
      </c>
    </row>
    <row r="38" spans="1:12">
      <c r="A38" s="271" t="s">
        <v>33</v>
      </c>
      <c r="B38" s="162">
        <f t="shared" ref="B38:L38" si="46">B36/B2</f>
        <v>6.4218892874727445E-3</v>
      </c>
      <c r="C38" s="162">
        <f t="shared" si="46"/>
        <v>7.9424495685078804E-3</v>
      </c>
      <c r="D38" s="162">
        <f t="shared" si="46"/>
        <v>1.2721521140174835E-2</v>
      </c>
      <c r="E38" s="162">
        <f t="shared" si="46"/>
        <v>1.6498636819287572E-2</v>
      </c>
      <c r="F38" s="162">
        <f t="shared" si="46"/>
        <v>1.2853312479052621E-2</v>
      </c>
      <c r="G38" s="162">
        <f t="shared" si="46"/>
        <v>5.368284579855765E-3</v>
      </c>
      <c r="H38" s="162">
        <f t="shared" si="46"/>
        <v>4.9897861184957475E-3</v>
      </c>
      <c r="I38" s="162">
        <f t="shared" si="46"/>
        <v>4.4173052169293424E-3</v>
      </c>
      <c r="J38" s="162">
        <f t="shared" si="46"/>
        <v>3.7911713916272201E-3</v>
      </c>
      <c r="K38" s="162">
        <f t="shared" si="46"/>
        <v>3.2041958432444586E-3</v>
      </c>
      <c r="L38" s="162">
        <f t="shared" si="46"/>
        <v>2.6664322186658257E-3</v>
      </c>
    </row>
    <row r="39" spans="1:12">
      <c r="A39" s="271" t="s">
        <v>34</v>
      </c>
      <c r="B39" s="145">
        <v>2.08</v>
      </c>
      <c r="C39" s="145">
        <v>1.92</v>
      </c>
      <c r="D39" s="145">
        <v>5.21</v>
      </c>
      <c r="E39" s="145">
        <v>4.53</v>
      </c>
      <c r="F39" s="145">
        <v>4.08</v>
      </c>
      <c r="G39" s="145">
        <v>2.84</v>
      </c>
      <c r="H39" s="145">
        <f t="shared" ref="H39" si="47">H36-H40</f>
        <v>2.9819999999999993</v>
      </c>
      <c r="I39" s="145">
        <f t="shared" ref="I39:L39" si="48">I36-I40</f>
        <v>3.1311</v>
      </c>
      <c r="J39" s="145">
        <f t="shared" si="48"/>
        <v>3.2876549999999991</v>
      </c>
      <c r="K39" s="145">
        <f t="shared" si="48"/>
        <v>3.4520377499999988</v>
      </c>
      <c r="L39" s="145">
        <f t="shared" si="48"/>
        <v>3.6246396374999996</v>
      </c>
    </row>
    <row r="40" spans="1:12">
      <c r="A40" s="271" t="s">
        <v>35</v>
      </c>
      <c r="B40" s="144">
        <v>7.04</v>
      </c>
      <c r="C40" s="144">
        <v>9.75</v>
      </c>
      <c r="D40" s="144">
        <v>13.49</v>
      </c>
      <c r="E40" s="144">
        <v>21.3</v>
      </c>
      <c r="F40" s="144">
        <v>18.940000000000001</v>
      </c>
      <c r="G40" s="144">
        <v>7.76</v>
      </c>
      <c r="H40" s="151">
        <f>H36*H41</f>
        <v>8.1480000000000015</v>
      </c>
      <c r="I40" s="151">
        <f t="shared" ref="I40:L40" si="49">I36*I41</f>
        <v>8.5554000000000006</v>
      </c>
      <c r="J40" s="151">
        <f t="shared" si="49"/>
        <v>8.9831700000000012</v>
      </c>
      <c r="K40" s="151">
        <f t="shared" si="49"/>
        <v>9.4323285000000023</v>
      </c>
      <c r="L40" s="151">
        <f t="shared" si="49"/>
        <v>9.9039449250000029</v>
      </c>
    </row>
    <row r="41" spans="1:12">
      <c r="A41" s="271" t="s">
        <v>36</v>
      </c>
      <c r="B41" s="161">
        <f t="shared" ref="B41:G41" si="50">B40/B36</f>
        <v>0.77108433734939752</v>
      </c>
      <c r="C41" s="161">
        <f t="shared" si="50"/>
        <v>0.83547557840616971</v>
      </c>
      <c r="D41" s="161">
        <f t="shared" si="50"/>
        <v>0.72139037433155084</v>
      </c>
      <c r="E41" s="161">
        <f t="shared" si="50"/>
        <v>0.8243034055727555</v>
      </c>
      <c r="F41" s="161">
        <f t="shared" si="50"/>
        <v>0.82312038244241637</v>
      </c>
      <c r="G41" s="161">
        <f t="shared" si="50"/>
        <v>0.73207547169811327</v>
      </c>
      <c r="H41" s="163">
        <f>G41</f>
        <v>0.73207547169811327</v>
      </c>
      <c r="I41" s="163">
        <f t="shared" ref="I41:L41" si="51">H41</f>
        <v>0.73207547169811327</v>
      </c>
      <c r="J41" s="163">
        <f t="shared" si="51"/>
        <v>0.73207547169811327</v>
      </c>
      <c r="K41" s="163">
        <f t="shared" si="51"/>
        <v>0.73207547169811327</v>
      </c>
      <c r="L41" s="163">
        <f t="shared" si="51"/>
        <v>0.73207547169811327</v>
      </c>
    </row>
    <row r="43" spans="1:12">
      <c r="A43" s="281" t="s">
        <v>43</v>
      </c>
    </row>
    <row r="44" spans="1:12">
      <c r="A44" s="271" t="s">
        <v>685</v>
      </c>
      <c r="B44" s="153">
        <f t="shared" ref="B44:L44" si="52">B10</f>
        <v>0.96696912147429137</v>
      </c>
      <c r="C44" s="153">
        <f t="shared" si="52"/>
        <v>0.95146734543870626</v>
      </c>
      <c r="D44" s="153">
        <f t="shared" si="52"/>
        <v>0.93524949828225445</v>
      </c>
      <c r="E44" s="153">
        <f t="shared" si="52"/>
        <v>0.97118484985857412</v>
      </c>
      <c r="F44" s="153">
        <f t="shared" si="52"/>
        <v>0.96077533236509882</v>
      </c>
      <c r="G44" s="153">
        <f t="shared" si="52"/>
        <v>0.96275119520298191</v>
      </c>
      <c r="H44" s="153">
        <f t="shared" si="52"/>
        <v>0.95879042881956877</v>
      </c>
      <c r="I44" s="153">
        <f t="shared" si="52"/>
        <v>0.95791774621344783</v>
      </c>
      <c r="J44" s="153">
        <f t="shared" si="52"/>
        <v>0.95915991146998614</v>
      </c>
      <c r="K44" s="153">
        <f t="shared" si="52"/>
        <v>0.96120651437134297</v>
      </c>
      <c r="L44" s="153">
        <f t="shared" si="52"/>
        <v>0.96367241498743716</v>
      </c>
    </row>
    <row r="45" spans="1:12">
      <c r="A45" s="271" t="s">
        <v>680</v>
      </c>
      <c r="B45" s="153">
        <f t="shared" ref="B45:L45" si="53">B17</f>
        <v>0</v>
      </c>
      <c r="C45" s="153">
        <f t="shared" si="53"/>
        <v>0</v>
      </c>
      <c r="D45" s="153">
        <f t="shared" si="53"/>
        <v>0</v>
      </c>
      <c r="E45" s="153">
        <f t="shared" si="53"/>
        <v>1.2316513322138439E-2</v>
      </c>
      <c r="F45" s="153">
        <f t="shared" si="53"/>
        <v>2.6371355155848507E-2</v>
      </c>
      <c r="G45" s="153">
        <f t="shared" si="53"/>
        <v>3.1880520217162304E-2</v>
      </c>
      <c r="H45" s="153">
        <f t="shared" si="53"/>
        <v>3.621978506193551E-2</v>
      </c>
      <c r="I45" s="153">
        <f t="shared" si="53"/>
        <v>3.7664948569622853E-2</v>
      </c>
      <c r="J45" s="153">
        <f t="shared" si="53"/>
        <v>3.7048917138386636E-2</v>
      </c>
      <c r="K45" s="153">
        <f t="shared" si="53"/>
        <v>3.5589289785412599E-2</v>
      </c>
      <c r="L45" s="153">
        <f t="shared" si="53"/>
        <v>3.3661152793896941E-2</v>
      </c>
    </row>
    <row r="46" spans="1:12">
      <c r="A46" s="271" t="s">
        <v>681</v>
      </c>
      <c r="B46" s="153">
        <f t="shared" ref="B46:L46" si="54">B24</f>
        <v>2.3211648027009917E-2</v>
      </c>
      <c r="C46" s="153">
        <f t="shared" si="54"/>
        <v>3.5669561429777036E-2</v>
      </c>
      <c r="D46" s="153">
        <f t="shared" si="54"/>
        <v>5.0198986360080279E-2</v>
      </c>
      <c r="E46" s="153">
        <f t="shared" si="54"/>
        <v>0</v>
      </c>
      <c r="F46" s="153">
        <f t="shared" si="54"/>
        <v>0</v>
      </c>
      <c r="G46" s="153">
        <f t="shared" si="54"/>
        <v>0</v>
      </c>
      <c r="H46" s="153">
        <f t="shared" si="54"/>
        <v>0</v>
      </c>
      <c r="I46" s="153">
        <f t="shared" si="54"/>
        <v>0</v>
      </c>
      <c r="J46" s="153">
        <f t="shared" si="54"/>
        <v>0</v>
      </c>
      <c r="K46" s="153">
        <f t="shared" si="54"/>
        <v>0</v>
      </c>
      <c r="L46" s="153">
        <f t="shared" si="54"/>
        <v>0</v>
      </c>
    </row>
    <row r="47" spans="1:12">
      <c r="A47" s="271" t="s">
        <v>682</v>
      </c>
      <c r="B47" s="153">
        <f>B31</f>
        <v>3.3973412112259971E-3</v>
      </c>
      <c r="C47" s="153">
        <f>C31</f>
        <v>4.9206435630087383E-3</v>
      </c>
      <c r="D47" s="153">
        <f>D31</f>
        <v>1.8299942174903906E-3</v>
      </c>
      <c r="E47" s="153">
        <f t="shared" ref="E47:G47" si="55">E31</f>
        <v>0</v>
      </c>
      <c r="F47" s="153">
        <f t="shared" si="55"/>
        <v>0</v>
      </c>
      <c r="G47" s="153">
        <f t="shared" si="55"/>
        <v>0</v>
      </c>
      <c r="H47" s="153">
        <f>H31</f>
        <v>0</v>
      </c>
      <c r="I47" s="153">
        <f>I31</f>
        <v>0</v>
      </c>
      <c r="J47" s="153">
        <f>J31</f>
        <v>0</v>
      </c>
      <c r="K47" s="153">
        <f>K31</f>
        <v>0</v>
      </c>
      <c r="L47" s="153">
        <f>L31</f>
        <v>0</v>
      </c>
    </row>
    <row r="48" spans="1:12">
      <c r="A48" s="271" t="s">
        <v>683</v>
      </c>
      <c r="B48" s="153">
        <f>B38</f>
        <v>6.4218892874727445E-3</v>
      </c>
      <c r="C48" s="153">
        <f>C38</f>
        <v>7.9424495685078804E-3</v>
      </c>
      <c r="D48" s="153">
        <f>D38</f>
        <v>1.2721521140174835E-2</v>
      </c>
      <c r="E48" s="153">
        <f t="shared" ref="E48:G48" si="56">E38</f>
        <v>1.6498636819287572E-2</v>
      </c>
      <c r="F48" s="153">
        <f t="shared" si="56"/>
        <v>1.2853312479052621E-2</v>
      </c>
      <c r="G48" s="153">
        <f t="shared" si="56"/>
        <v>5.368284579855765E-3</v>
      </c>
      <c r="H48" s="153">
        <f>H38</f>
        <v>4.9897861184957475E-3</v>
      </c>
      <c r="I48" s="153">
        <f>I38</f>
        <v>4.4173052169293424E-3</v>
      </c>
      <c r="J48" s="153">
        <f>J38</f>
        <v>3.7911713916272201E-3</v>
      </c>
      <c r="K48" s="153">
        <f>K38</f>
        <v>3.2041958432444586E-3</v>
      </c>
      <c r="L48" s="153">
        <f>L38</f>
        <v>2.6664322186658257E-3</v>
      </c>
    </row>
    <row r="49" spans="1:12">
      <c r="A49" s="271" t="s">
        <v>42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</row>
    <row r="50" spans="1:12">
      <c r="A50" s="283" t="s">
        <v>44</v>
      </c>
      <c r="B50" s="153">
        <f t="shared" ref="B50:L50" si="57">SUM(B44:B49)</f>
        <v>1</v>
      </c>
      <c r="C50" s="153">
        <f t="shared" si="57"/>
        <v>0.99999999999999989</v>
      </c>
      <c r="D50" s="153">
        <f t="shared" si="57"/>
        <v>1</v>
      </c>
      <c r="E50" s="153">
        <f t="shared" si="57"/>
        <v>1.0000000000000002</v>
      </c>
      <c r="F50" s="153">
        <f t="shared" si="57"/>
        <v>1</v>
      </c>
      <c r="G50" s="153">
        <f t="shared" si="57"/>
        <v>0.99999999999999989</v>
      </c>
      <c r="H50" s="153">
        <f t="shared" si="57"/>
        <v>1</v>
      </c>
      <c r="I50" s="153">
        <f t="shared" si="57"/>
        <v>1</v>
      </c>
      <c r="J50" s="153">
        <f t="shared" si="57"/>
        <v>1</v>
      </c>
      <c r="K50" s="153">
        <f t="shared" si="57"/>
        <v>1</v>
      </c>
      <c r="L50" s="153">
        <f t="shared" si="57"/>
        <v>0.99999999999999989</v>
      </c>
    </row>
    <row r="52" spans="1:12" hidden="1">
      <c r="A52" s="155" t="s">
        <v>45</v>
      </c>
      <c r="B52" s="145"/>
      <c r="C52" s="145"/>
      <c r="D52" s="145"/>
      <c r="E52" s="145"/>
      <c r="F52" s="145"/>
      <c r="G52" s="145"/>
    </row>
    <row r="53" spans="1:12" hidden="1">
      <c r="A53" s="155" t="s">
        <v>46</v>
      </c>
      <c r="B53" s="153"/>
      <c r="C53" s="153"/>
      <c r="D53" s="153"/>
      <c r="E53" s="153"/>
      <c r="F53" s="153"/>
      <c r="G53" s="153"/>
    </row>
    <row r="54" spans="1:12" hidden="1">
      <c r="A54" s="155" t="s">
        <v>47</v>
      </c>
      <c r="B54" s="153"/>
      <c r="C54" s="153"/>
      <c r="D54" s="153"/>
      <c r="E54" s="153"/>
      <c r="F54" s="153"/>
      <c r="G54" s="153"/>
    </row>
    <row r="55" spans="1:12" hidden="1">
      <c r="A55" s="155" t="s">
        <v>48</v>
      </c>
      <c r="B55" s="153"/>
      <c r="C55" s="153"/>
      <c r="D55" s="153"/>
      <c r="E55" s="153"/>
      <c r="F55" s="153"/>
      <c r="G55" s="153"/>
    </row>
    <row r="56" spans="1:12" hidden="1">
      <c r="A56" s="155" t="s">
        <v>49</v>
      </c>
      <c r="B56" s="145"/>
      <c r="C56" s="145"/>
      <c r="D56" s="145"/>
      <c r="E56" s="145"/>
      <c r="F56" s="145"/>
      <c r="G56" s="145"/>
    </row>
    <row r="57" spans="1:12" hidden="1">
      <c r="A57" s="155" t="s">
        <v>50</v>
      </c>
      <c r="B57" s="153"/>
      <c r="C57" s="153"/>
      <c r="D57" s="153"/>
      <c r="E57" s="153"/>
      <c r="F57" s="153"/>
      <c r="G57" s="153"/>
    </row>
    <row r="59" spans="1:12" ht="14.25">
      <c r="A59" s="330" t="s">
        <v>687</v>
      </c>
      <c r="B59" s="330"/>
      <c r="C59" s="330"/>
      <c r="D59" s="330"/>
    </row>
    <row r="60" spans="1:12" ht="14.25">
      <c r="A60" s="320"/>
      <c r="B60" s="320">
        <v>2017</v>
      </c>
      <c r="C60" s="320" t="s">
        <v>688</v>
      </c>
      <c r="D60" s="320"/>
    </row>
    <row r="61" spans="1:12">
      <c r="A61" s="321" t="s">
        <v>689</v>
      </c>
      <c r="B61" s="321">
        <v>142102</v>
      </c>
      <c r="C61" s="321">
        <v>146180</v>
      </c>
      <c r="D61" s="322"/>
    </row>
    <row r="62" spans="1:12">
      <c r="A62" s="323" t="s">
        <v>690</v>
      </c>
      <c r="B62" s="324">
        <f>B63*B61</f>
        <v>83158.090400000001</v>
      </c>
      <c r="C62" s="324">
        <f>C63*C61</f>
        <v>95777.135999999999</v>
      </c>
      <c r="D62" s="323"/>
    </row>
    <row r="63" spans="1:12">
      <c r="A63" s="321" t="s">
        <v>691</v>
      </c>
      <c r="B63" s="325">
        <v>0.58520000000000005</v>
      </c>
      <c r="C63" s="326">
        <f>B63+7%</f>
        <v>0.6552</v>
      </c>
      <c r="D63" s="322"/>
    </row>
    <row r="64" spans="1:12">
      <c r="A64" s="323" t="s">
        <v>692</v>
      </c>
      <c r="B64" s="327">
        <v>2.8</v>
      </c>
      <c r="C64" s="327">
        <v>2.67</v>
      </c>
      <c r="D64" s="323"/>
    </row>
    <row r="65" spans="1:4">
      <c r="A65" s="321" t="s">
        <v>693</v>
      </c>
      <c r="B65" s="328">
        <f>B62/B64</f>
        <v>29699.318000000003</v>
      </c>
      <c r="C65" s="328">
        <f>C62/C64</f>
        <v>35871.586516853931</v>
      </c>
      <c r="D65" s="322"/>
    </row>
    <row r="66" spans="1:4" ht="24">
      <c r="A66" s="323" t="s">
        <v>694</v>
      </c>
      <c r="B66" s="329">
        <v>5.82</v>
      </c>
      <c r="C66" s="327">
        <v>16.2</v>
      </c>
      <c r="D66" s="323"/>
    </row>
    <row r="67" spans="1:4" ht="24">
      <c r="A67" s="332" t="s">
        <v>703</v>
      </c>
      <c r="B67" s="333">
        <v>1728.5003076000003</v>
      </c>
      <c r="C67" s="333">
        <v>5811.1970157303367</v>
      </c>
      <c r="D67" s="332" t="s">
        <v>695</v>
      </c>
    </row>
    <row r="68" spans="1:4">
      <c r="A68" s="334" t="s">
        <v>696</v>
      </c>
      <c r="B68" s="422">
        <v>0.03</v>
      </c>
      <c r="C68" s="422"/>
      <c r="D68" s="334" t="s">
        <v>697</v>
      </c>
    </row>
    <row r="69" spans="1:4">
      <c r="A69" s="332" t="s">
        <v>698</v>
      </c>
      <c r="B69" s="335">
        <v>0.38850000000000001</v>
      </c>
      <c r="C69" s="335">
        <v>0.48849999999999999</v>
      </c>
      <c r="D69" s="332" t="s">
        <v>699</v>
      </c>
    </row>
    <row r="70" spans="1:4" ht="24">
      <c r="A70" s="337" t="s">
        <v>700</v>
      </c>
      <c r="B70" s="338">
        <v>17.2</v>
      </c>
      <c r="C70" s="338">
        <v>83.4</v>
      </c>
      <c r="D70" s="337" t="s">
        <v>701</v>
      </c>
    </row>
    <row r="71" spans="1:4">
      <c r="A71" s="336" t="s">
        <v>702</v>
      </c>
      <c r="B71" s="336"/>
      <c r="C71" s="336"/>
      <c r="D71" s="331"/>
    </row>
  </sheetData>
  <mergeCells count="1">
    <mergeCell ref="B68:C68"/>
  </mergeCells>
  <phoneticPr fontId="39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6"/>
  <sheetViews>
    <sheetView workbookViewId="0">
      <pane xSplit="1" ySplit="2" topLeftCell="B3" activePane="bottomRight" state="frozen"/>
      <selection pane="topRight"/>
      <selection pane="bottomLeft"/>
      <selection pane="bottomRight" activeCell="M59" sqref="M59"/>
    </sheetView>
  </sheetViews>
  <sheetFormatPr defaultColWidth="8.875" defaultRowHeight="13.5"/>
  <cols>
    <col min="1" max="1" width="40" style="143" customWidth="1"/>
    <col min="2" max="6" width="11.625" style="143" customWidth="1"/>
    <col min="7" max="8" width="9.25" style="143" customWidth="1"/>
    <col min="9" max="9" width="8.875" style="143" customWidth="1"/>
    <col min="10" max="10" width="8.375" style="143" customWidth="1"/>
    <col min="11" max="11" width="8.5" style="143" customWidth="1"/>
    <col min="12" max="12" width="8.375" style="143" customWidth="1"/>
    <col min="13" max="16384" width="8.875" style="143"/>
  </cols>
  <sheetData>
    <row r="1" spans="1:12" s="280" customFormat="1">
      <c r="A1" s="385" t="s">
        <v>684</v>
      </c>
      <c r="B1" s="209"/>
      <c r="C1" s="209"/>
      <c r="D1" s="209"/>
      <c r="E1" s="210"/>
      <c r="F1" s="210"/>
      <c r="G1" s="210"/>
      <c r="H1" s="210"/>
      <c r="I1" s="210"/>
      <c r="J1" s="210"/>
      <c r="K1" s="210"/>
      <c r="L1" s="210"/>
    </row>
    <row r="2" spans="1:12">
      <c r="A2" s="271"/>
      <c r="B2" s="279" t="s">
        <v>647</v>
      </c>
      <c r="C2" s="274" t="s">
        <v>51</v>
      </c>
      <c r="D2" s="279" t="s">
        <v>52</v>
      </c>
      <c r="E2" s="279" t="s">
        <v>53</v>
      </c>
      <c r="F2" s="279" t="s">
        <v>54</v>
      </c>
      <c r="G2" s="279" t="s">
        <v>55</v>
      </c>
      <c r="H2" s="274" t="s">
        <v>24</v>
      </c>
      <c r="I2" s="274" t="s">
        <v>25</v>
      </c>
      <c r="J2" s="274" t="s">
        <v>26</v>
      </c>
      <c r="K2" s="274" t="s">
        <v>27</v>
      </c>
      <c r="L2" s="274" t="s">
        <v>28</v>
      </c>
    </row>
    <row r="3" spans="1:12" hidden="1">
      <c r="A3" s="271" t="s">
        <v>56</v>
      </c>
      <c r="B3" s="144" t="s">
        <v>57</v>
      </c>
      <c r="C3" s="144" t="s">
        <v>57</v>
      </c>
      <c r="D3" s="144" t="s">
        <v>57</v>
      </c>
      <c r="E3" s="144" t="s">
        <v>57</v>
      </c>
      <c r="F3" s="144" t="s">
        <v>57</v>
      </c>
      <c r="G3" s="144" t="s">
        <v>57</v>
      </c>
      <c r="H3" s="144" t="s">
        <v>57</v>
      </c>
      <c r="I3" s="144" t="s">
        <v>57</v>
      </c>
      <c r="J3" s="144" t="s">
        <v>57</v>
      </c>
      <c r="K3" s="144" t="s">
        <v>57</v>
      </c>
      <c r="L3" s="144" t="s">
        <v>57</v>
      </c>
    </row>
    <row r="4" spans="1:12" hidden="1">
      <c r="A4" s="271" t="s">
        <v>58</v>
      </c>
      <c r="B4" s="145" t="s">
        <v>59</v>
      </c>
      <c r="C4" s="145" t="s">
        <v>59</v>
      </c>
      <c r="D4" s="145" t="s">
        <v>59</v>
      </c>
      <c r="E4" s="145" t="s">
        <v>59</v>
      </c>
      <c r="F4" s="145" t="s">
        <v>59</v>
      </c>
      <c r="G4" s="145" t="s">
        <v>59</v>
      </c>
      <c r="H4" s="145" t="s">
        <v>59</v>
      </c>
      <c r="I4" s="145" t="s">
        <v>59</v>
      </c>
      <c r="J4" s="145" t="s">
        <v>59</v>
      </c>
      <c r="K4" s="145" t="s">
        <v>59</v>
      </c>
      <c r="L4" s="145" t="s">
        <v>59</v>
      </c>
    </row>
    <row r="5" spans="1:12">
      <c r="A5" s="271" t="s">
        <v>29</v>
      </c>
      <c r="B5" s="144">
        <v>1421.71</v>
      </c>
      <c r="C5" s="144">
        <v>1469.32</v>
      </c>
      <c r="D5" s="144">
        <v>1469.96</v>
      </c>
      <c r="E5" s="151">
        <v>1566.19</v>
      </c>
      <c r="F5" s="151">
        <v>1790.2</v>
      </c>
      <c r="G5" s="151">
        <v>1974.56</v>
      </c>
      <c r="H5" s="151">
        <f>业务模型!H2</f>
        <v>2230.5565280131327</v>
      </c>
      <c r="I5" s="151">
        <f>业务模型!I2</f>
        <v>2645.6175034524299</v>
      </c>
      <c r="J5" s="151">
        <f>业务模型!J2</f>
        <v>3236.6843206034014</v>
      </c>
      <c r="K5" s="151">
        <f>业务模型!K2</f>
        <v>4021.0919932265233</v>
      </c>
      <c r="L5" s="151">
        <f>业务模型!L2</f>
        <v>5073.6652774429631</v>
      </c>
    </row>
    <row r="6" spans="1:12">
      <c r="A6" s="271" t="s">
        <v>60</v>
      </c>
      <c r="B6" s="145">
        <v>1421.71</v>
      </c>
      <c r="C6" s="145">
        <v>1469.32</v>
      </c>
      <c r="D6" s="145">
        <v>1469.96</v>
      </c>
      <c r="E6" s="145">
        <v>1566.19</v>
      </c>
      <c r="F6" s="145">
        <v>1790.2</v>
      </c>
      <c r="G6" s="145">
        <v>1974.56</v>
      </c>
      <c r="H6" s="145">
        <f>H5</f>
        <v>2230.5565280131327</v>
      </c>
      <c r="I6" s="145">
        <f t="shared" ref="I6:L6" si="0">I5</f>
        <v>2645.6175034524299</v>
      </c>
      <c r="J6" s="145">
        <f t="shared" si="0"/>
        <v>3236.6843206034014</v>
      </c>
      <c r="K6" s="145">
        <f t="shared" si="0"/>
        <v>4021.0919932265233</v>
      </c>
      <c r="L6" s="145">
        <f t="shared" si="0"/>
        <v>5073.6652774429631</v>
      </c>
    </row>
    <row r="7" spans="1:12" hidden="1">
      <c r="A7" s="271" t="s">
        <v>61</v>
      </c>
      <c r="B7" s="144"/>
      <c r="C7" s="144"/>
      <c r="D7" s="144"/>
      <c r="E7" s="151"/>
      <c r="F7" s="151"/>
      <c r="G7" s="151"/>
      <c r="H7" s="151"/>
      <c r="I7" s="151"/>
      <c r="J7" s="151"/>
      <c r="K7" s="151"/>
      <c r="L7" s="151"/>
    </row>
    <row r="8" spans="1:12" hidden="1">
      <c r="A8" s="271" t="s">
        <v>62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idden="1">
      <c r="A9" s="271" t="s">
        <v>63</v>
      </c>
      <c r="B9" s="144"/>
      <c r="C9" s="144"/>
      <c r="D9" s="144"/>
      <c r="E9" s="151"/>
      <c r="F9" s="151"/>
      <c r="G9" s="151"/>
      <c r="H9" s="151"/>
      <c r="I9" s="151"/>
      <c r="J9" s="151"/>
      <c r="K9" s="151"/>
      <c r="L9" s="151"/>
    </row>
    <row r="10" spans="1:12" hidden="1">
      <c r="A10" s="271" t="s">
        <v>64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>
      <c r="A11" s="271" t="s">
        <v>65</v>
      </c>
      <c r="B11" s="144">
        <v>1214.04</v>
      </c>
      <c r="C11" s="144">
        <v>1319.22</v>
      </c>
      <c r="D11" s="144">
        <v>1321.07</v>
      </c>
      <c r="E11" s="151">
        <v>1411.54</v>
      </c>
      <c r="F11" s="151">
        <v>1765.53</v>
      </c>
      <c r="G11" s="151">
        <v>1829.66</v>
      </c>
      <c r="H11" s="151">
        <f>H12+H13+H14+H15+H16+H17</f>
        <v>2045.0754598568856</v>
      </c>
      <c r="I11" s="151">
        <f t="shared" ref="I11:L11" si="1">I12+I13+I14+I15+I16+I17</f>
        <v>2424.7404011819285</v>
      </c>
      <c r="J11" s="151">
        <f t="shared" si="1"/>
        <v>2951.7677189382762</v>
      </c>
      <c r="K11" s="151">
        <f t="shared" si="1"/>
        <v>3648.0990385376235</v>
      </c>
      <c r="L11" s="151">
        <f t="shared" si="1"/>
        <v>4583.1601409399709</v>
      </c>
    </row>
    <row r="12" spans="1:12">
      <c r="A12" s="271" t="s">
        <v>66</v>
      </c>
      <c r="B12" s="145">
        <v>976.69</v>
      </c>
      <c r="C12" s="145">
        <v>1050.5999999999999</v>
      </c>
      <c r="D12" s="145">
        <v>1048.22</v>
      </c>
      <c r="E12" s="145">
        <v>1080.8</v>
      </c>
      <c r="F12" s="145">
        <v>1203.43</v>
      </c>
      <c r="G12" s="145">
        <v>1356.08</v>
      </c>
      <c r="H12" s="145">
        <f>业务模型!H4</f>
        <v>1522.5969485272717</v>
      </c>
      <c r="I12" s="145">
        <f>业务模型!I4</f>
        <v>1791.8112312703729</v>
      </c>
      <c r="J12" s="145">
        <f>业务模型!J4</f>
        <v>2170.9602231483327</v>
      </c>
      <c r="K12" s="145">
        <f>业务模型!K4</f>
        <v>2674.0424229728942</v>
      </c>
      <c r="L12" s="145">
        <f>业务模型!L4</f>
        <v>3354.131499720329</v>
      </c>
    </row>
    <row r="13" spans="1:12">
      <c r="A13" s="271" t="s">
        <v>67</v>
      </c>
      <c r="B13" s="145">
        <v>11.56</v>
      </c>
      <c r="C13" s="145">
        <v>13.42</v>
      </c>
      <c r="D13" s="145">
        <v>16.07</v>
      </c>
      <c r="E13" s="145">
        <v>21.36</v>
      </c>
      <c r="F13" s="145">
        <v>25.82</v>
      </c>
      <c r="G13" s="145">
        <v>24.18</v>
      </c>
      <c r="H13" s="145">
        <f>H5*H65</f>
        <v>26.932932718784276</v>
      </c>
      <c r="I13" s="145">
        <f>I5*I65</f>
        <v>31.944600966285307</v>
      </c>
      <c r="J13" s="145">
        <f>J5*J65</f>
        <v>39.081457898045322</v>
      </c>
      <c r="K13" s="145">
        <f>K5*K65</f>
        <v>48.55281574328901</v>
      </c>
      <c r="L13" s="145">
        <f>L5*L65</f>
        <v>61.262148633696825</v>
      </c>
    </row>
    <row r="14" spans="1:12">
      <c r="A14" s="271" t="s">
        <v>68</v>
      </c>
      <c r="B14" s="144">
        <v>74.09</v>
      </c>
      <c r="C14" s="144">
        <v>89.76</v>
      </c>
      <c r="D14" s="144">
        <v>87.09</v>
      </c>
      <c r="E14" s="151">
        <v>105.66</v>
      </c>
      <c r="F14" s="151">
        <v>144.21</v>
      </c>
      <c r="G14" s="151">
        <v>163.68</v>
      </c>
      <c r="H14" s="151">
        <f>H5*H66</f>
        <v>191.59235252362575</v>
      </c>
      <c r="I14" s="151">
        <f>I5*I66</f>
        <v>235.18062553216717</v>
      </c>
      <c r="J14" s="151">
        <f>J5*J66</f>
        <v>290.95984996201656</v>
      </c>
      <c r="K14" s="151">
        <f>K5*K66</f>
        <v>365.49481236350397</v>
      </c>
      <c r="L14" s="151">
        <f>L5*L66</f>
        <v>461.16784736533032</v>
      </c>
    </row>
    <row r="15" spans="1:12">
      <c r="A15" s="271" t="s">
        <v>69</v>
      </c>
      <c r="B15" s="145">
        <v>145.85</v>
      </c>
      <c r="C15" s="145">
        <v>157.49</v>
      </c>
      <c r="D15" s="145">
        <v>163.04</v>
      </c>
      <c r="E15" s="145">
        <v>187.15</v>
      </c>
      <c r="F15" s="145">
        <v>351.65</v>
      </c>
      <c r="G15" s="145">
        <v>154.94</v>
      </c>
      <c r="H15" s="145">
        <f>H5*H67</f>
        <v>175.02756485007029</v>
      </c>
      <c r="I15" s="145">
        <f>I5*I67</f>
        <v>207.59661696019342</v>
      </c>
      <c r="J15" s="145">
        <f>J5*J67</f>
        <v>253.97651559552054</v>
      </c>
      <c r="K15" s="145">
        <f>K5*K67</f>
        <v>315.52750659920059</v>
      </c>
      <c r="L15" s="145">
        <f>L5*L67</f>
        <v>398.12094749565108</v>
      </c>
    </row>
    <row r="16" spans="1:12">
      <c r="A16" s="271" t="s">
        <v>70</v>
      </c>
      <c r="B16" s="144"/>
      <c r="C16" s="144"/>
      <c r="D16" s="144"/>
      <c r="E16" s="151"/>
      <c r="F16" s="151"/>
      <c r="G16" s="151">
        <v>97.2</v>
      </c>
      <c r="H16" s="151">
        <f>H5*H68</f>
        <v>114.26283826208559</v>
      </c>
      <c r="I16" s="151">
        <f>I5*I68</f>
        <v>140.81605184245822</v>
      </c>
      <c r="J16" s="151">
        <f>J5*J68</f>
        <v>175.51295120082648</v>
      </c>
      <c r="K16" s="151">
        <f>K5*K68</f>
        <v>218.04836458367683</v>
      </c>
      <c r="L16" s="151">
        <f>L5*L68</f>
        <v>275.12536844592972</v>
      </c>
    </row>
    <row r="17" spans="1:12">
      <c r="A17" s="271" t="s">
        <v>71</v>
      </c>
      <c r="B17" s="145">
        <v>1.08</v>
      </c>
      <c r="C17" s="145">
        <v>4.0199999999999996</v>
      </c>
      <c r="D17" s="145">
        <v>3.83</v>
      </c>
      <c r="E17" s="145">
        <v>8.1</v>
      </c>
      <c r="F17" s="145">
        <v>11.16</v>
      </c>
      <c r="G17" s="145">
        <v>12.98</v>
      </c>
      <c r="H17" s="145">
        <f>H5*H69</f>
        <v>14.662822975047842</v>
      </c>
      <c r="I17" s="145">
        <f>I5*I69</f>
        <v>17.391274610451212</v>
      </c>
      <c r="J17" s="145">
        <f>J5*J69</f>
        <v>21.276721133534636</v>
      </c>
      <c r="K17" s="145">
        <f>K5*K69</f>
        <v>26.433116275058886</v>
      </c>
      <c r="L17" s="145">
        <f>L5*L69</f>
        <v>33.352329279034144</v>
      </c>
    </row>
    <row r="18" spans="1:12" hidden="1">
      <c r="A18" s="271" t="s">
        <v>72</v>
      </c>
      <c r="B18" s="144"/>
      <c r="C18" s="144"/>
      <c r="D18" s="144"/>
      <c r="E18" s="151"/>
      <c r="F18" s="151"/>
      <c r="G18" s="151">
        <v>10.9</v>
      </c>
      <c r="H18" s="151"/>
      <c r="I18" s="151"/>
      <c r="J18" s="151"/>
      <c r="K18" s="151"/>
      <c r="L18" s="151"/>
    </row>
    <row r="19" spans="1:12" hidden="1">
      <c r="A19" s="271" t="s">
        <v>73</v>
      </c>
      <c r="B19" s="145"/>
      <c r="C19" s="145"/>
      <c r="D19" s="145"/>
      <c r="E19" s="145"/>
      <c r="F19" s="145"/>
      <c r="G19" s="145">
        <v>5.01</v>
      </c>
      <c r="H19" s="145"/>
      <c r="I19" s="145"/>
      <c r="J19" s="145"/>
      <c r="K19" s="145"/>
      <c r="L19" s="145"/>
    </row>
    <row r="20" spans="1:12" hidden="1">
      <c r="A20" s="271" t="s">
        <v>74</v>
      </c>
      <c r="B20" s="144"/>
      <c r="C20" s="144"/>
      <c r="D20" s="144"/>
      <c r="E20" s="151"/>
      <c r="F20" s="151"/>
      <c r="G20" s="151"/>
      <c r="H20" s="151"/>
      <c r="I20" s="151"/>
      <c r="J20" s="151"/>
      <c r="K20" s="151"/>
      <c r="L20" s="151"/>
    </row>
    <row r="21" spans="1:12" hidden="1">
      <c r="A21" s="271" t="s">
        <v>75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idden="1">
      <c r="A22" s="271" t="s">
        <v>76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2" hidden="1">
      <c r="A23" s="271" t="s">
        <v>77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" hidden="1">
      <c r="A24" s="271" t="s">
        <v>78</v>
      </c>
      <c r="B24" s="144"/>
      <c r="C24" s="144"/>
      <c r="D24" s="144"/>
      <c r="E24" s="151"/>
      <c r="F24" s="151"/>
      <c r="G24" s="151"/>
      <c r="H24" s="151"/>
      <c r="I24" s="151"/>
      <c r="J24" s="151"/>
      <c r="K24" s="151"/>
      <c r="L24" s="151"/>
    </row>
    <row r="25" spans="1:12" hidden="1">
      <c r="A25" s="271" t="s">
        <v>79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hidden="1">
      <c r="A26" s="271" t="s">
        <v>80</v>
      </c>
      <c r="B26" s="144"/>
      <c r="C26" s="144"/>
      <c r="D26" s="144"/>
      <c r="E26" s="151"/>
      <c r="F26" s="151"/>
      <c r="G26" s="151"/>
      <c r="H26" s="151"/>
      <c r="I26" s="151"/>
      <c r="J26" s="151"/>
      <c r="K26" s="151"/>
      <c r="L26" s="151"/>
    </row>
    <row r="27" spans="1:12" hidden="1">
      <c r="A27" s="271" t="s">
        <v>81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>
      <c r="A28" s="271" t="s">
        <v>82</v>
      </c>
      <c r="B28" s="144"/>
      <c r="C28" s="144"/>
      <c r="D28" s="144"/>
      <c r="E28" s="151"/>
      <c r="F28" s="151">
        <v>21.51</v>
      </c>
      <c r="G28" s="151">
        <v>18.77</v>
      </c>
      <c r="H28" s="152">
        <v>8</v>
      </c>
      <c r="I28" s="152">
        <f>H28*1.06</f>
        <v>8.48</v>
      </c>
      <c r="J28" s="152">
        <f t="shared" ref="J28:L28" si="2">I28*1.06</f>
        <v>8.9888000000000012</v>
      </c>
      <c r="K28" s="152">
        <f t="shared" si="2"/>
        <v>9.5281280000000024</v>
      </c>
      <c r="L28" s="152">
        <f t="shared" si="2"/>
        <v>10.099815680000003</v>
      </c>
    </row>
    <row r="29" spans="1:12">
      <c r="A29" s="271" t="s">
        <v>83</v>
      </c>
      <c r="B29" s="145">
        <v>5.0599999999999996</v>
      </c>
      <c r="C29" s="145">
        <v>12.82</v>
      </c>
      <c r="D29" s="145">
        <v>13.01</v>
      </c>
      <c r="E29" s="145">
        <v>7.94</v>
      </c>
      <c r="F29" s="145">
        <v>10.96</v>
      </c>
      <c r="G29" s="145">
        <v>38.479999999999997</v>
      </c>
      <c r="H29" s="152">
        <v>25</v>
      </c>
      <c r="I29" s="152">
        <f>H29*1.3</f>
        <v>32.5</v>
      </c>
      <c r="J29" s="152">
        <f>I29*1.2</f>
        <v>39</v>
      </c>
      <c r="K29" s="152">
        <f>J29*1.15</f>
        <v>44.849999999999994</v>
      </c>
      <c r="L29" s="152">
        <f>K29*1.1</f>
        <v>49.335000000000001</v>
      </c>
    </row>
    <row r="30" spans="1:12">
      <c r="A30" s="271" t="s">
        <v>84</v>
      </c>
      <c r="B30" s="144">
        <v>1.88</v>
      </c>
      <c r="C30" s="144">
        <v>5.91</v>
      </c>
      <c r="D30" s="144">
        <v>5.83</v>
      </c>
      <c r="E30" s="151">
        <v>4.09</v>
      </c>
      <c r="F30" s="151">
        <v>3.65</v>
      </c>
      <c r="G30" s="151">
        <v>-0.5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</row>
    <row r="31" spans="1:12">
      <c r="A31" s="271" t="s">
        <v>85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2">
      <c r="A32" s="271" t="s">
        <v>86</v>
      </c>
      <c r="B32" s="144"/>
      <c r="C32" s="144"/>
      <c r="D32" s="144"/>
      <c r="E32" s="151"/>
      <c r="F32" s="151"/>
      <c r="G32" s="151"/>
      <c r="H32" s="151"/>
      <c r="I32" s="151"/>
      <c r="J32" s="151"/>
      <c r="K32" s="151"/>
      <c r="L32" s="151"/>
    </row>
    <row r="33" spans="1:12">
      <c r="A33" s="271" t="s">
        <v>87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1:12">
      <c r="A34" s="271" t="s">
        <v>88</v>
      </c>
      <c r="B34" s="144">
        <v>4.76</v>
      </c>
      <c r="C34" s="144">
        <v>3.93</v>
      </c>
      <c r="D34" s="144">
        <v>2.81</v>
      </c>
      <c r="E34" s="151">
        <v>8.4700000000000006</v>
      </c>
      <c r="F34" s="151">
        <v>29.27</v>
      </c>
      <c r="G34" s="151">
        <v>20.6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</row>
    <row r="35" spans="1:12">
      <c r="A35" s="271" t="s">
        <v>89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">
      <c r="A36" s="271" t="s">
        <v>90</v>
      </c>
      <c r="B36" s="144"/>
      <c r="C36" s="144"/>
      <c r="D36" s="144"/>
      <c r="E36" s="151"/>
      <c r="F36" s="151">
        <v>130.30000000000001</v>
      </c>
      <c r="G36" s="151">
        <v>-0.52</v>
      </c>
      <c r="H36" s="152">
        <v>4</v>
      </c>
      <c r="I36" s="152">
        <v>0</v>
      </c>
      <c r="J36" s="152">
        <v>0</v>
      </c>
      <c r="K36" s="152">
        <v>0</v>
      </c>
      <c r="L36" s="152">
        <v>0</v>
      </c>
    </row>
    <row r="37" spans="1:12">
      <c r="A37" s="271" t="s">
        <v>91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12">
      <c r="A38" s="271" t="s">
        <v>92</v>
      </c>
      <c r="B38" s="144"/>
      <c r="C38" s="144"/>
      <c r="D38" s="144"/>
      <c r="E38" s="151"/>
      <c r="F38" s="151"/>
      <c r="G38" s="151"/>
      <c r="H38" s="151"/>
      <c r="I38" s="151"/>
      <c r="J38" s="151"/>
      <c r="K38" s="151"/>
      <c r="L38" s="151"/>
    </row>
    <row r="39" spans="1:12">
      <c r="A39" s="271" t="s">
        <v>93</v>
      </c>
      <c r="B39" s="144"/>
      <c r="C39" s="144"/>
      <c r="D39" s="144"/>
      <c r="E39" s="151"/>
      <c r="F39" s="151"/>
      <c r="G39" s="151"/>
      <c r="H39" s="151"/>
      <c r="I39" s="151"/>
      <c r="J39" s="151"/>
      <c r="K39" s="151"/>
      <c r="L39" s="151"/>
    </row>
    <row r="40" spans="1:12">
      <c r="A40" s="271" t="s">
        <v>94</v>
      </c>
      <c r="B40" s="145">
        <v>212.73</v>
      </c>
      <c r="C40" s="145">
        <v>162.91999999999999</v>
      </c>
      <c r="D40" s="145">
        <v>161.9</v>
      </c>
      <c r="E40" s="145">
        <v>162.59</v>
      </c>
      <c r="F40" s="145">
        <v>187.43</v>
      </c>
      <c r="G40" s="145">
        <v>201.63</v>
      </c>
      <c r="H40" s="145">
        <f>H5-H11+H28+H29+H33+H34+H36</f>
        <v>222.48106815624715</v>
      </c>
      <c r="I40" s="145">
        <f>I5-I11+I28+I29+I33+I34+I36</f>
        <v>261.8571022705014</v>
      </c>
      <c r="J40" s="145">
        <f>J5-J11+J28+J29+J33+J34+J36</f>
        <v>332.90540166512523</v>
      </c>
      <c r="K40" s="145">
        <f>K5-K11+K28+K29+K33+K34+K36</f>
        <v>427.37108268889972</v>
      </c>
      <c r="L40" s="145">
        <f>L5-L11+L28+L29+L33+L34+L36</f>
        <v>549.93995218299222</v>
      </c>
    </row>
    <row r="41" spans="1:12">
      <c r="A41" s="271" t="s">
        <v>95</v>
      </c>
      <c r="B41" s="144">
        <v>21.88</v>
      </c>
      <c r="C41" s="144">
        <v>5.42</v>
      </c>
      <c r="D41" s="144">
        <v>5.63</v>
      </c>
      <c r="E41" s="151">
        <v>14.45</v>
      </c>
      <c r="F41" s="151">
        <v>3.7</v>
      </c>
      <c r="G41" s="151">
        <v>3.63</v>
      </c>
      <c r="H41" s="152">
        <v>0.3</v>
      </c>
      <c r="I41" s="152">
        <f>H41*1.1</f>
        <v>0.33</v>
      </c>
      <c r="J41" s="152">
        <f t="shared" ref="J41:L41" si="3">I41*1.1</f>
        <v>0.36300000000000004</v>
      </c>
      <c r="K41" s="152">
        <f t="shared" si="3"/>
        <v>0.3993000000000001</v>
      </c>
      <c r="L41" s="152">
        <f t="shared" si="3"/>
        <v>0.43923000000000012</v>
      </c>
    </row>
    <row r="42" spans="1:12">
      <c r="A42" s="271" t="s">
        <v>96</v>
      </c>
      <c r="B42" s="145">
        <v>4.03</v>
      </c>
      <c r="C42" s="145">
        <v>3.89</v>
      </c>
      <c r="D42" s="145">
        <v>2.41</v>
      </c>
      <c r="E42" s="145">
        <v>5.4</v>
      </c>
      <c r="F42" s="145">
        <v>4.17</v>
      </c>
      <c r="G42" s="145">
        <v>4.83</v>
      </c>
      <c r="H42" s="152">
        <v>4.5</v>
      </c>
      <c r="I42" s="152">
        <f>H42*1.07</f>
        <v>4.8150000000000004</v>
      </c>
      <c r="J42" s="152">
        <f t="shared" ref="J42:L42" si="4">I42*1.07</f>
        <v>5.1520500000000009</v>
      </c>
      <c r="K42" s="152">
        <f t="shared" si="4"/>
        <v>5.512693500000001</v>
      </c>
      <c r="L42" s="152">
        <f t="shared" si="4"/>
        <v>5.8985820450000013</v>
      </c>
    </row>
    <row r="43" spans="1:12">
      <c r="A43" s="271" t="s">
        <v>97</v>
      </c>
      <c r="B43" s="144">
        <v>0.35</v>
      </c>
      <c r="C43" s="144">
        <v>0.4</v>
      </c>
      <c r="D43" s="144">
        <v>0.56000000000000005</v>
      </c>
      <c r="E43" s="144">
        <v>0.23</v>
      </c>
      <c r="F43" s="144"/>
      <c r="G43" s="144"/>
      <c r="H43" s="144"/>
      <c r="I43" s="144"/>
      <c r="J43" s="144"/>
      <c r="K43" s="144"/>
      <c r="L43" s="144"/>
    </row>
    <row r="44" spans="1:12">
      <c r="A44" s="271" t="s">
        <v>98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</row>
    <row r="45" spans="1:12">
      <c r="A45" s="271" t="s">
        <v>99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12">
      <c r="A46" s="271" t="s">
        <v>100</v>
      </c>
      <c r="B46" s="145">
        <v>230.58</v>
      </c>
      <c r="C46" s="145">
        <v>164.45</v>
      </c>
      <c r="D46" s="145">
        <v>165.11</v>
      </c>
      <c r="E46" s="145">
        <v>171.65</v>
      </c>
      <c r="F46" s="145">
        <v>186.96</v>
      </c>
      <c r="G46" s="145">
        <v>200.43</v>
      </c>
      <c r="H46" s="145">
        <f>H40+H41-H42</f>
        <v>218.28106815624716</v>
      </c>
      <c r="I46" s="145">
        <f t="shared" ref="I46:L46" si="5">I40+I41-I42</f>
        <v>257.37210227050139</v>
      </c>
      <c r="J46" s="145">
        <f t="shared" si="5"/>
        <v>328.11635166512525</v>
      </c>
      <c r="K46" s="145">
        <f t="shared" si="5"/>
        <v>422.25768918889969</v>
      </c>
      <c r="L46" s="145">
        <f t="shared" si="5"/>
        <v>544.48060013799216</v>
      </c>
    </row>
    <row r="47" spans="1:12">
      <c r="A47" s="271" t="s">
        <v>101</v>
      </c>
      <c r="B47" s="144">
        <v>33.380000000000003</v>
      </c>
      <c r="C47" s="144">
        <v>22.94</v>
      </c>
      <c r="D47" s="144">
        <v>18.38</v>
      </c>
      <c r="E47" s="144">
        <v>20.48</v>
      </c>
      <c r="F47" s="144">
        <v>26.89</v>
      </c>
      <c r="G47" s="144">
        <v>26.37</v>
      </c>
      <c r="H47" s="144">
        <f>H46*H71</f>
        <v>30.559349541874607</v>
      </c>
      <c r="I47" s="144">
        <f>I46*I71</f>
        <v>36.032094317870197</v>
      </c>
      <c r="J47" s="144">
        <f>J46*J71</f>
        <v>45.936289233117542</v>
      </c>
      <c r="K47" s="144">
        <f>K46*K71</f>
        <v>59.116076486445962</v>
      </c>
      <c r="L47" s="144">
        <f>L46*L71</f>
        <v>76.227284019318915</v>
      </c>
    </row>
    <row r="48" spans="1:12">
      <c r="A48" s="271" t="s">
        <v>102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>
      <c r="A49" s="271" t="s">
        <v>103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>
      <c r="A50" s="271" t="s">
        <v>104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>
      <c r="A51" s="271" t="s">
        <v>105</v>
      </c>
      <c r="B51" s="144">
        <v>197.2</v>
      </c>
      <c r="C51" s="144">
        <v>141.52000000000001</v>
      </c>
      <c r="D51" s="144">
        <v>146.72999999999999</v>
      </c>
      <c r="E51" s="144">
        <v>151.16999999999999</v>
      </c>
      <c r="F51" s="144">
        <v>160.07</v>
      </c>
      <c r="G51" s="144">
        <v>174.06</v>
      </c>
      <c r="H51" s="144">
        <f>H46-H47</f>
        <v>187.72171861437255</v>
      </c>
      <c r="I51" s="144">
        <f t="shared" ref="I51:L51" si="6">I46-I47</f>
        <v>221.3400079526312</v>
      </c>
      <c r="J51" s="144">
        <f t="shared" si="6"/>
        <v>282.18006243200773</v>
      </c>
      <c r="K51" s="144">
        <f t="shared" si="6"/>
        <v>363.1416127024537</v>
      </c>
      <c r="L51" s="144">
        <f t="shared" si="6"/>
        <v>468.25331611867324</v>
      </c>
    </row>
    <row r="52" spans="1:12">
      <c r="A52" s="271" t="s">
        <v>106</v>
      </c>
      <c r="B52" s="145"/>
      <c r="C52" s="145"/>
      <c r="D52" s="145"/>
      <c r="E52" s="145"/>
      <c r="F52" s="145">
        <v>160.07</v>
      </c>
      <c r="G52" s="145">
        <v>174.06</v>
      </c>
      <c r="H52" s="145">
        <f>H51</f>
        <v>187.72171861437255</v>
      </c>
      <c r="I52" s="145">
        <f t="shared" ref="I52:L52" si="7">I51</f>
        <v>221.3400079526312</v>
      </c>
      <c r="J52" s="145">
        <f t="shared" si="7"/>
        <v>282.18006243200773</v>
      </c>
      <c r="K52" s="145">
        <f t="shared" si="7"/>
        <v>363.1416127024537</v>
      </c>
      <c r="L52" s="145">
        <f t="shared" si="7"/>
        <v>468.25331611867324</v>
      </c>
    </row>
    <row r="53" spans="1:12">
      <c r="A53" s="271" t="s">
        <v>107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>
      <c r="A54" s="271" t="s">
        <v>108</v>
      </c>
      <c r="B54" s="145">
        <v>0.75</v>
      </c>
      <c r="C54" s="145">
        <v>0.39</v>
      </c>
      <c r="D54" s="145">
        <v>0.74</v>
      </c>
      <c r="E54" s="145">
        <v>-0.32</v>
      </c>
      <c r="F54" s="145">
        <v>-4.63</v>
      </c>
      <c r="G54" s="145">
        <v>-2.19</v>
      </c>
      <c r="H54" s="152">
        <f>AVERAGE(D54:G54)</f>
        <v>-1.6</v>
      </c>
      <c r="I54" s="152">
        <f>H54*1.07</f>
        <v>-1.7120000000000002</v>
      </c>
      <c r="J54" s="152">
        <f t="shared" ref="J54:L54" si="8">I54*1.07</f>
        <v>-1.8318400000000004</v>
      </c>
      <c r="K54" s="152">
        <f t="shared" si="8"/>
        <v>-1.9600688000000004</v>
      </c>
      <c r="L54" s="152">
        <f t="shared" si="8"/>
        <v>-2.0972736160000007</v>
      </c>
    </row>
    <row r="55" spans="1:12">
      <c r="A55" s="271" t="s">
        <v>109</v>
      </c>
      <c r="B55" s="144">
        <v>196.45</v>
      </c>
      <c r="C55" s="144">
        <v>141.13</v>
      </c>
      <c r="D55" s="144">
        <v>145.97999999999999</v>
      </c>
      <c r="E55" s="144">
        <v>151.49</v>
      </c>
      <c r="F55" s="144">
        <v>164.7</v>
      </c>
      <c r="G55" s="144">
        <v>176.25</v>
      </c>
      <c r="H55" s="144">
        <f>H51-H54</f>
        <v>189.32171861437254</v>
      </c>
      <c r="I55" s="144">
        <f t="shared" ref="I55:L55" si="9">I51-I54</f>
        <v>223.05200795263119</v>
      </c>
      <c r="J55" s="144">
        <f t="shared" si="9"/>
        <v>284.01190243200773</v>
      </c>
      <c r="K55" s="144">
        <f t="shared" si="9"/>
        <v>365.10168150245369</v>
      </c>
      <c r="L55" s="144">
        <f t="shared" si="9"/>
        <v>470.35058973467324</v>
      </c>
    </row>
    <row r="56" spans="1:12">
      <c r="A56" s="271" t="s">
        <v>110</v>
      </c>
      <c r="B56" s="145">
        <v>3.91</v>
      </c>
      <c r="C56" s="145">
        <v>-1.27</v>
      </c>
      <c r="D56" s="145">
        <v>0</v>
      </c>
      <c r="E56" s="145">
        <v>2.04</v>
      </c>
      <c r="F56" s="145">
        <v>24.38</v>
      </c>
      <c r="G56" s="145">
        <v>6.28</v>
      </c>
      <c r="H56" s="152">
        <f>G56</f>
        <v>6.28</v>
      </c>
      <c r="I56" s="152">
        <f t="shared" ref="I56:L56" si="10">H56</f>
        <v>6.28</v>
      </c>
      <c r="J56" s="152">
        <f t="shared" si="10"/>
        <v>6.28</v>
      </c>
      <c r="K56" s="152">
        <f t="shared" si="10"/>
        <v>6.28</v>
      </c>
      <c r="L56" s="152">
        <f t="shared" si="10"/>
        <v>6.28</v>
      </c>
    </row>
    <row r="57" spans="1:12">
      <c r="A57" s="271" t="s">
        <v>111</v>
      </c>
      <c r="B57" s="144">
        <v>201.11</v>
      </c>
      <c r="C57" s="144">
        <v>140.24</v>
      </c>
      <c r="D57" s="144">
        <v>146.72999999999999</v>
      </c>
      <c r="E57" s="144">
        <v>153.21</v>
      </c>
      <c r="F57" s="144">
        <v>184.45</v>
      </c>
      <c r="G57" s="144">
        <v>180.34</v>
      </c>
      <c r="H57" s="144">
        <f>H51+H56</f>
        <v>194.00171861437255</v>
      </c>
      <c r="I57" s="144">
        <f t="shared" ref="I57:L57" si="11">I51+I56</f>
        <v>227.6200079526312</v>
      </c>
      <c r="J57" s="144">
        <f t="shared" si="11"/>
        <v>288.4600624320077</v>
      </c>
      <c r="K57" s="144">
        <f t="shared" si="11"/>
        <v>369.42161270245367</v>
      </c>
      <c r="L57" s="144">
        <f t="shared" si="11"/>
        <v>474.53331611867321</v>
      </c>
    </row>
    <row r="58" spans="1:12">
      <c r="A58" s="271" t="s">
        <v>112</v>
      </c>
      <c r="B58" s="145">
        <v>0.75</v>
      </c>
      <c r="C58" s="145">
        <v>0.39</v>
      </c>
      <c r="D58" s="145">
        <v>0.74</v>
      </c>
      <c r="E58" s="145">
        <v>-0.25</v>
      </c>
      <c r="F58" s="145">
        <v>-4.78</v>
      </c>
      <c r="G58" s="145">
        <v>-2.17</v>
      </c>
      <c r="H58" s="152">
        <f>H54</f>
        <v>-1.6</v>
      </c>
      <c r="I58" s="152">
        <f t="shared" ref="I58:L58" si="12">I54</f>
        <v>-1.7120000000000002</v>
      </c>
      <c r="J58" s="152">
        <f t="shared" si="12"/>
        <v>-1.8318400000000004</v>
      </c>
      <c r="K58" s="152">
        <f t="shared" si="12"/>
        <v>-1.9600688000000004</v>
      </c>
      <c r="L58" s="152">
        <f t="shared" si="12"/>
        <v>-2.0972736160000007</v>
      </c>
    </row>
    <row r="59" spans="1:12">
      <c r="A59" s="271" t="s">
        <v>113</v>
      </c>
      <c r="B59" s="144">
        <v>200.36</v>
      </c>
      <c r="C59" s="144">
        <v>139.86000000000001</v>
      </c>
      <c r="D59" s="144">
        <v>145.97999999999999</v>
      </c>
      <c r="E59" s="144">
        <v>153.46</v>
      </c>
      <c r="F59" s="144">
        <v>189.22</v>
      </c>
      <c r="G59" s="144">
        <v>182.51</v>
      </c>
      <c r="H59" s="144">
        <f>H57-H58</f>
        <v>195.60171861437254</v>
      </c>
      <c r="I59" s="144">
        <f t="shared" ref="I59:L59" si="13">I57-I58</f>
        <v>229.33200795263119</v>
      </c>
      <c r="J59" s="144">
        <f t="shared" si="13"/>
        <v>290.2919024320077</v>
      </c>
      <c r="K59" s="144">
        <f t="shared" si="13"/>
        <v>371.38168150245366</v>
      </c>
      <c r="L59" s="144">
        <f t="shared" si="13"/>
        <v>476.63058973467321</v>
      </c>
    </row>
    <row r="60" spans="1:12">
      <c r="A60" s="271" t="s">
        <v>114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>
      <c r="A61" s="271" t="s">
        <v>116</v>
      </c>
      <c r="B61" s="144">
        <v>0.21</v>
      </c>
      <c r="C61" s="144">
        <v>0.15</v>
      </c>
      <c r="D61" s="144">
        <v>0.15</v>
      </c>
      <c r="E61" s="144">
        <v>0.16</v>
      </c>
      <c r="F61" s="144">
        <v>0.17</v>
      </c>
      <c r="G61" s="144">
        <v>0.13</v>
      </c>
      <c r="H61" s="144">
        <f>H59/资产负债假设!J33</f>
        <v>0.14400267876080197</v>
      </c>
      <c r="I61" s="144">
        <f>I59/资产负债假设!K33</f>
        <v>0.16883503736426703</v>
      </c>
      <c r="J61" s="144">
        <f>J59/资产负债假设!L33</f>
        <v>0.21371392781672044</v>
      </c>
      <c r="K61" s="144">
        <f>K59/资产负债假设!M33</f>
        <v>0.27341251067675781</v>
      </c>
      <c r="L61" s="144">
        <f>L59/资产负债假设!N33</f>
        <v>0.35089713008324491</v>
      </c>
    </row>
    <row r="62" spans="1:12">
      <c r="A62" s="271" t="s">
        <v>117</v>
      </c>
      <c r="B62" s="145">
        <v>0.21</v>
      </c>
      <c r="C62" s="145">
        <v>0.15</v>
      </c>
      <c r="D62" s="145">
        <v>0.15</v>
      </c>
      <c r="E62" s="145">
        <v>0.16</v>
      </c>
      <c r="F62" s="145">
        <v>0.17</v>
      </c>
      <c r="G62" s="145">
        <v>0.13</v>
      </c>
      <c r="H62" s="145">
        <f>H59/资产负债假设!J34</f>
        <v>0.14400267876080197</v>
      </c>
      <c r="I62" s="145">
        <f>I59/资产负债假设!K34</f>
        <v>0.16883503736426703</v>
      </c>
      <c r="J62" s="145">
        <f>J59/资产负债假设!L34</f>
        <v>0.21371392781672044</v>
      </c>
      <c r="K62" s="145">
        <f>K59/资产负债假设!M34</f>
        <v>0.27341251067675781</v>
      </c>
      <c r="L62" s="145">
        <f>L59/资产负债假设!N34</f>
        <v>0.35089713008324491</v>
      </c>
    </row>
    <row r="63" spans="1:12"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5" spans="1:12">
      <c r="A65" s="273" t="s">
        <v>118</v>
      </c>
      <c r="B65" s="153">
        <f t="shared" ref="B65:G65" si="14">B13/B5</f>
        <v>8.1310534497190008E-3</v>
      </c>
      <c r="C65" s="153">
        <f t="shared" si="14"/>
        <v>9.1334767103149767E-3</v>
      </c>
      <c r="D65" s="153">
        <f t="shared" si="14"/>
        <v>1.0932270265857575E-2</v>
      </c>
      <c r="E65" s="153">
        <f t="shared" si="14"/>
        <v>1.3638192045664957E-2</v>
      </c>
      <c r="F65" s="153">
        <f t="shared" si="14"/>
        <v>1.4422969500614457E-2</v>
      </c>
      <c r="G65" s="153">
        <f t="shared" si="14"/>
        <v>1.2245766145369095E-2</v>
      </c>
      <c r="H65" s="154">
        <f>AVERAGE(C65:G65)</f>
        <v>1.2074534933564213E-2</v>
      </c>
      <c r="I65" s="154">
        <f>H65</f>
        <v>1.2074534933564213E-2</v>
      </c>
      <c r="J65" s="154">
        <f t="shared" ref="J65:L65" si="15">I65</f>
        <v>1.2074534933564213E-2</v>
      </c>
      <c r="K65" s="154">
        <f t="shared" si="15"/>
        <v>1.2074534933564213E-2</v>
      </c>
      <c r="L65" s="154">
        <f t="shared" si="15"/>
        <v>1.2074534933564213E-2</v>
      </c>
    </row>
    <row r="66" spans="1:12">
      <c r="A66" s="273" t="s">
        <v>119</v>
      </c>
      <c r="B66" s="153">
        <f t="shared" ref="B66:G66" si="16">B14/B5</f>
        <v>5.2113300180768228E-2</v>
      </c>
      <c r="C66" s="153">
        <f t="shared" si="16"/>
        <v>6.108948357063132E-2</v>
      </c>
      <c r="D66" s="153">
        <f t="shared" si="16"/>
        <v>5.9246510109118619E-2</v>
      </c>
      <c r="E66" s="153">
        <f t="shared" si="16"/>
        <v>6.746307919217974E-2</v>
      </c>
      <c r="F66" s="153">
        <f t="shared" si="16"/>
        <v>8.0555245223997318E-2</v>
      </c>
      <c r="G66" s="153">
        <f t="shared" si="16"/>
        <v>8.2894416984036962E-2</v>
      </c>
      <c r="H66" s="154">
        <f>G66+0.3%</f>
        <v>8.5894416984036964E-2</v>
      </c>
      <c r="I66" s="154">
        <f t="shared" ref="I66" si="17">H66+0.3%</f>
        <v>8.8894416984036967E-2</v>
      </c>
      <c r="J66" s="154">
        <f>I66+0.1%</f>
        <v>8.9894416984036968E-2</v>
      </c>
      <c r="K66" s="154">
        <f>J66+0.1%</f>
        <v>9.0894416984036969E-2</v>
      </c>
      <c r="L66" s="154">
        <f>K66</f>
        <v>9.0894416984036969E-2</v>
      </c>
    </row>
    <row r="67" spans="1:12">
      <c r="A67" s="281" t="s">
        <v>120</v>
      </c>
      <c r="B67" s="153">
        <f t="shared" ref="B67:G67" si="18">B15/B5</f>
        <v>0.10258772886172285</v>
      </c>
      <c r="C67" s="153">
        <f t="shared" si="18"/>
        <v>0.10718563689325676</v>
      </c>
      <c r="D67" s="153">
        <f t="shared" si="18"/>
        <v>0.11091458270973359</v>
      </c>
      <c r="E67" s="153">
        <f t="shared" si="18"/>
        <v>0.11949380343381071</v>
      </c>
      <c r="F67" s="153">
        <f t="shared" si="18"/>
        <v>0.19643056641716009</v>
      </c>
      <c r="G67" s="153">
        <f t="shared" si="18"/>
        <v>7.846811441536343E-2</v>
      </c>
      <c r="H67" s="154">
        <f>G67</f>
        <v>7.846811441536343E-2</v>
      </c>
      <c r="I67" s="154">
        <f t="shared" ref="I67" si="19">H67</f>
        <v>7.846811441536343E-2</v>
      </c>
      <c r="J67" s="154">
        <f t="shared" ref="J67" si="20">I67</f>
        <v>7.846811441536343E-2</v>
      </c>
      <c r="K67" s="154">
        <f t="shared" ref="K67:L67" si="21">J67</f>
        <v>7.846811441536343E-2</v>
      </c>
      <c r="L67" s="154">
        <f t="shared" si="21"/>
        <v>7.846811441536343E-2</v>
      </c>
    </row>
    <row r="68" spans="1:12">
      <c r="A68" s="281" t="s">
        <v>121</v>
      </c>
      <c r="B68" s="153">
        <f t="shared" ref="B68:G68" si="22">B16/B5</f>
        <v>0</v>
      </c>
      <c r="C68" s="153">
        <f t="shared" si="22"/>
        <v>0</v>
      </c>
      <c r="D68" s="153">
        <f t="shared" si="22"/>
        <v>0</v>
      </c>
      <c r="E68" s="153">
        <f t="shared" si="22"/>
        <v>0</v>
      </c>
      <c r="F68" s="153">
        <f t="shared" si="22"/>
        <v>0</v>
      </c>
      <c r="G68" s="153">
        <f t="shared" si="22"/>
        <v>4.9226156713394378E-2</v>
      </c>
      <c r="H68" s="154">
        <f>G68+0.2%</f>
        <v>5.122615671339438E-2</v>
      </c>
      <c r="I68" s="154">
        <f>H68+0.2%</f>
        <v>5.3226156713394382E-2</v>
      </c>
      <c r="J68" s="154">
        <f>I68+0.1%</f>
        <v>5.4226156713394383E-2</v>
      </c>
      <c r="K68" s="154">
        <f>J68</f>
        <v>5.4226156713394383E-2</v>
      </c>
      <c r="L68" s="154">
        <f>K68</f>
        <v>5.4226156713394383E-2</v>
      </c>
    </row>
    <row r="69" spans="1:12">
      <c r="A69" s="281" t="s">
        <v>122</v>
      </c>
      <c r="B69" s="153">
        <f t="shared" ref="B69:G69" si="23">B17/B5</f>
        <v>7.5964859218828032E-4</v>
      </c>
      <c r="C69" s="153">
        <f t="shared" si="23"/>
        <v>2.7359594914654396E-3</v>
      </c>
      <c r="D69" s="153">
        <f t="shared" si="23"/>
        <v>2.6055130751857195E-3</v>
      </c>
      <c r="E69" s="153">
        <f t="shared" si="23"/>
        <v>5.1717863094515983E-3</v>
      </c>
      <c r="F69" s="153">
        <f t="shared" si="23"/>
        <v>6.2339403418612445E-3</v>
      </c>
      <c r="G69" s="153">
        <f t="shared" si="23"/>
        <v>6.5736164006158339E-3</v>
      </c>
      <c r="H69" s="154">
        <f>G69</f>
        <v>6.5736164006158339E-3</v>
      </c>
      <c r="I69" s="154">
        <f t="shared" ref="I69:L69" si="24">H69</f>
        <v>6.5736164006158339E-3</v>
      </c>
      <c r="J69" s="154">
        <f t="shared" si="24"/>
        <v>6.5736164006158339E-3</v>
      </c>
      <c r="K69" s="154">
        <f t="shared" si="24"/>
        <v>6.5736164006158339E-3</v>
      </c>
      <c r="L69" s="154">
        <f t="shared" si="24"/>
        <v>6.5736164006158339E-3</v>
      </c>
    </row>
    <row r="70" spans="1:12">
      <c r="A70" s="281" t="s">
        <v>123</v>
      </c>
      <c r="B70" s="153">
        <f t="shared" ref="B70:G70" si="25">B34/B5</f>
        <v>3.3480808322372351E-3</v>
      </c>
      <c r="C70" s="153">
        <f t="shared" si="25"/>
        <v>2.6747066670296466E-3</v>
      </c>
      <c r="D70" s="153">
        <f t="shared" si="25"/>
        <v>1.9116166426297314E-3</v>
      </c>
      <c r="E70" s="153">
        <f t="shared" si="25"/>
        <v>5.4080284001302523E-3</v>
      </c>
      <c r="F70" s="153">
        <f t="shared" si="25"/>
        <v>1.6350128477265108E-2</v>
      </c>
      <c r="G70" s="153">
        <f t="shared" si="25"/>
        <v>1.0432703994814035E-2</v>
      </c>
      <c r="H70" s="154">
        <f>G70</f>
        <v>1.0432703994814035E-2</v>
      </c>
      <c r="I70" s="154">
        <f t="shared" ref="I70:L70" si="26">H70</f>
        <v>1.0432703994814035E-2</v>
      </c>
      <c r="J70" s="154">
        <f t="shared" si="26"/>
        <v>1.0432703994814035E-2</v>
      </c>
      <c r="K70" s="154">
        <f t="shared" si="26"/>
        <v>1.0432703994814035E-2</v>
      </c>
      <c r="L70" s="154">
        <f t="shared" si="26"/>
        <v>1.0432703994814035E-2</v>
      </c>
    </row>
    <row r="71" spans="1:12">
      <c r="A71" s="281" t="s">
        <v>124</v>
      </c>
      <c r="B71" s="153">
        <f>B47/B46</f>
        <v>0.144765374273571</v>
      </c>
      <c r="C71" s="153">
        <f t="shared" ref="C71:G71" si="27">C47/C46</f>
        <v>0.13949528732137428</v>
      </c>
      <c r="D71" s="153">
        <f t="shared" si="27"/>
        <v>0.11131972624311064</v>
      </c>
      <c r="E71" s="153">
        <f t="shared" si="27"/>
        <v>0.1193125546169531</v>
      </c>
      <c r="F71" s="153">
        <f t="shared" si="27"/>
        <v>0.14382755669661959</v>
      </c>
      <c r="G71" s="153">
        <f t="shared" si="27"/>
        <v>0.1315671306690615</v>
      </c>
      <c r="H71" s="154">
        <v>0.14000000000000001</v>
      </c>
      <c r="I71" s="154">
        <f>H71</f>
        <v>0.14000000000000001</v>
      </c>
      <c r="J71" s="154">
        <f t="shared" ref="J71:L71" si="28">I71</f>
        <v>0.14000000000000001</v>
      </c>
      <c r="K71" s="154">
        <f t="shared" si="28"/>
        <v>0.14000000000000001</v>
      </c>
      <c r="L71" s="154">
        <f t="shared" si="28"/>
        <v>0.14000000000000001</v>
      </c>
    </row>
    <row r="72" spans="1:12">
      <c r="A72" s="281" t="s">
        <v>125</v>
      </c>
      <c r="B72" s="153"/>
      <c r="C72" s="153">
        <f t="shared" ref="C72:L72" si="29">C6/B6-1</f>
        <v>3.348784210563327E-2</v>
      </c>
      <c r="D72" s="153">
        <f t="shared" si="29"/>
        <v>4.3557564043239516E-4</v>
      </c>
      <c r="E72" s="153">
        <f t="shared" si="29"/>
        <v>6.5464366377316452E-2</v>
      </c>
      <c r="F72" s="153">
        <f t="shared" si="29"/>
        <v>0.14302862360250024</v>
      </c>
      <c r="G72" s="153">
        <f t="shared" si="29"/>
        <v>0.10298290693777234</v>
      </c>
      <c r="H72" s="153">
        <f t="shared" si="29"/>
        <v>0.12964737866316178</v>
      </c>
      <c r="I72" s="153">
        <f t="shared" si="29"/>
        <v>0.18607955917127672</v>
      </c>
      <c r="J72" s="153">
        <f t="shared" si="29"/>
        <v>0.22341355709192734</v>
      </c>
      <c r="K72" s="153">
        <f t="shared" si="29"/>
        <v>0.24234914342121816</v>
      </c>
      <c r="L72" s="153">
        <f t="shared" si="29"/>
        <v>0.26176304496129044</v>
      </c>
    </row>
    <row r="73" spans="1:12">
      <c r="A73" s="281" t="s">
        <v>126</v>
      </c>
      <c r="B73" s="153"/>
      <c r="C73" s="153">
        <f t="shared" ref="C73" si="30">C55/B55-1</f>
        <v>-0.28159837108679053</v>
      </c>
      <c r="D73" s="153">
        <f t="shared" ref="D73" si="31">D55/C55-1</f>
        <v>3.4365478636717794E-2</v>
      </c>
      <c r="E73" s="153">
        <f t="shared" ref="E73" si="32">E55/D55-1</f>
        <v>3.7744896561172858E-2</v>
      </c>
      <c r="F73" s="153">
        <f t="shared" ref="F73" si="33">F55/E55-1</f>
        <v>8.7200475278896183E-2</v>
      </c>
      <c r="G73" s="153">
        <f t="shared" ref="G73" si="34">G55/F55-1</f>
        <v>7.0127504553734177E-2</v>
      </c>
      <c r="H73" s="153">
        <f>H55/G55-1</f>
        <v>7.416577937232649E-2</v>
      </c>
      <c r="I73" s="153">
        <f t="shared" ref="I73:L73" si="35">I55/H55-1</f>
        <v>0.17816386616985835</v>
      </c>
      <c r="J73" s="153">
        <f t="shared" si="35"/>
        <v>0.27329901684777647</v>
      </c>
      <c r="K73" s="153">
        <f t="shared" si="35"/>
        <v>0.28551542514968653</v>
      </c>
      <c r="L73" s="153">
        <f t="shared" si="35"/>
        <v>0.28827286633987259</v>
      </c>
    </row>
    <row r="74" spans="1:12">
      <c r="A74" s="281" t="s">
        <v>127</v>
      </c>
      <c r="B74" s="153">
        <f t="shared" ref="B74:L74" si="36">(B5-B12)/B5</f>
        <v>0.31301742268113747</v>
      </c>
      <c r="C74" s="153">
        <f t="shared" si="36"/>
        <v>0.28497536275283808</v>
      </c>
      <c r="D74" s="153">
        <f t="shared" si="36"/>
        <v>0.28690576614329644</v>
      </c>
      <c r="E74" s="153">
        <f t="shared" si="36"/>
        <v>0.30991769836354471</v>
      </c>
      <c r="F74" s="153">
        <f t="shared" si="36"/>
        <v>0.32776784716791418</v>
      </c>
      <c r="G74" s="153">
        <f t="shared" si="36"/>
        <v>0.31322421197633904</v>
      </c>
      <c r="H74" s="153">
        <f t="shared" si="36"/>
        <v>0.31739145392404633</v>
      </c>
      <c r="I74" s="153">
        <f t="shared" si="36"/>
        <v>0.32272475936822781</v>
      </c>
      <c r="J74" s="153">
        <f t="shared" si="36"/>
        <v>0.32926414561689171</v>
      </c>
      <c r="K74" s="153">
        <f t="shared" si="36"/>
        <v>0.33499595943657007</v>
      </c>
      <c r="L74" s="153">
        <f t="shared" si="36"/>
        <v>0.33891352379265516</v>
      </c>
    </row>
    <row r="75" spans="1:12">
      <c r="A75" s="281" t="s">
        <v>128</v>
      </c>
      <c r="B75" s="153">
        <f>B74-B66</f>
        <v>0.26090412250036926</v>
      </c>
      <c r="C75" s="153">
        <f t="shared" ref="C75:G75" si="37">C74-C66</f>
        <v>0.22388587918220676</v>
      </c>
      <c r="D75" s="153">
        <f t="shared" si="37"/>
        <v>0.2276592560341778</v>
      </c>
      <c r="E75" s="153">
        <f t="shared" si="37"/>
        <v>0.24245461917136496</v>
      </c>
      <c r="F75" s="153">
        <f t="shared" si="37"/>
        <v>0.24721260194391687</v>
      </c>
      <c r="G75" s="153">
        <f t="shared" si="37"/>
        <v>0.23032979499230208</v>
      </c>
      <c r="H75" s="153">
        <f t="shared" ref="H75" si="38">H74-H66</f>
        <v>0.23149703694000937</v>
      </c>
      <c r="I75" s="153">
        <f t="shared" ref="I75" si="39">I74-I66</f>
        <v>0.23383034238419084</v>
      </c>
      <c r="J75" s="153">
        <f t="shared" ref="J75" si="40">J74-J66</f>
        <v>0.23936972863285474</v>
      </c>
      <c r="K75" s="153">
        <f t="shared" ref="K75" si="41">K74-K66</f>
        <v>0.2441015424525331</v>
      </c>
      <c r="L75" s="153">
        <f t="shared" ref="L75" si="42">L74-L66</f>
        <v>0.24801910680861819</v>
      </c>
    </row>
    <row r="76" spans="1:12">
      <c r="A76" s="281" t="s">
        <v>129</v>
      </c>
      <c r="B76" s="153">
        <f t="shared" ref="B76:L76" si="43">B55/B5</f>
        <v>0.13817867216239599</v>
      </c>
      <c r="C76" s="153">
        <f t="shared" si="43"/>
        <v>9.6051234584705852E-2</v>
      </c>
      <c r="D76" s="153">
        <f t="shared" si="43"/>
        <v>9.9308824729924611E-2</v>
      </c>
      <c r="E76" s="153">
        <f t="shared" si="43"/>
        <v>9.6725173829484298E-2</v>
      </c>
      <c r="F76" s="153">
        <f t="shared" si="43"/>
        <v>9.2000893754887708E-2</v>
      </c>
      <c r="G76" s="153">
        <f t="shared" si="43"/>
        <v>8.9260392188639501E-2</v>
      </c>
      <c r="H76" s="153">
        <f t="shared" si="43"/>
        <v>8.4876449548225874E-2</v>
      </c>
      <c r="I76" s="153">
        <f t="shared" si="43"/>
        <v>8.4309998577480241E-2</v>
      </c>
      <c r="J76" s="153">
        <f t="shared" si="43"/>
        <v>8.774779196849837E-2</v>
      </c>
      <c r="K76" s="153">
        <f t="shared" si="43"/>
        <v>9.0796649794996659E-2</v>
      </c>
      <c r="L76" s="153">
        <f t="shared" si="43"/>
        <v>9.2704300345907237E-2</v>
      </c>
    </row>
  </sheetData>
  <phoneticPr fontId="3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7"/>
  <sheetViews>
    <sheetView workbookViewId="0">
      <pane ySplit="2" topLeftCell="A3" activePane="bottomLeft" state="frozen"/>
      <selection pane="bottomLeft" activeCell="I13" sqref="I13"/>
    </sheetView>
  </sheetViews>
  <sheetFormatPr defaultColWidth="9" defaultRowHeight="13.5"/>
  <cols>
    <col min="1" max="1" width="46.375" style="18" customWidth="1"/>
    <col min="2" max="7" width="11.625" style="18" customWidth="1"/>
    <col min="8" max="16384" width="9" style="18"/>
  </cols>
  <sheetData>
    <row r="1" spans="1:7">
      <c r="A1" s="386" t="s">
        <v>720</v>
      </c>
      <c r="B1" s="211"/>
      <c r="C1" s="211"/>
      <c r="D1" s="211"/>
      <c r="E1" s="211"/>
      <c r="F1" s="212"/>
      <c r="G1" s="212"/>
    </row>
    <row r="2" spans="1:7">
      <c r="A2" s="276"/>
      <c r="B2" s="277" t="s">
        <v>647</v>
      </c>
      <c r="C2" s="277" t="s">
        <v>51</v>
      </c>
      <c r="D2" s="277" t="s">
        <v>52</v>
      </c>
      <c r="E2" s="277" t="s">
        <v>53</v>
      </c>
      <c r="F2" s="278" t="s">
        <v>54</v>
      </c>
      <c r="G2" s="278" t="s">
        <v>55</v>
      </c>
    </row>
    <row r="3" spans="1:7">
      <c r="A3" s="276" t="s">
        <v>56</v>
      </c>
      <c r="B3" s="149" t="s">
        <v>57</v>
      </c>
      <c r="C3" s="149" t="s">
        <v>57</v>
      </c>
      <c r="D3" s="149" t="s">
        <v>57</v>
      </c>
      <c r="E3" s="149" t="s">
        <v>57</v>
      </c>
      <c r="F3" s="149" t="s">
        <v>57</v>
      </c>
      <c r="G3" s="149" t="s">
        <v>57</v>
      </c>
    </row>
    <row r="4" spans="1:7">
      <c r="A4" s="276" t="s">
        <v>58</v>
      </c>
      <c r="B4" s="150" t="s">
        <v>59</v>
      </c>
      <c r="C4" s="150" t="s">
        <v>59</v>
      </c>
      <c r="D4" s="150" t="s">
        <v>59</v>
      </c>
      <c r="E4" s="150" t="s">
        <v>59</v>
      </c>
      <c r="F4" s="150" t="s">
        <v>59</v>
      </c>
      <c r="G4" s="150" t="s">
        <v>59</v>
      </c>
    </row>
    <row r="5" spans="1:7">
      <c r="A5" s="276" t="s">
        <v>134</v>
      </c>
      <c r="B5" s="149" t="s">
        <v>115</v>
      </c>
      <c r="C5" s="149" t="s">
        <v>115</v>
      </c>
      <c r="D5" s="149" t="s">
        <v>115</v>
      </c>
      <c r="E5" s="149" t="s">
        <v>115</v>
      </c>
      <c r="F5" s="181"/>
      <c r="G5" s="181"/>
    </row>
    <row r="6" spans="1:7">
      <c r="A6" s="276" t="s">
        <v>135</v>
      </c>
      <c r="B6" s="150">
        <v>541.84</v>
      </c>
      <c r="C6" s="150">
        <v>536.37</v>
      </c>
      <c r="D6" s="150">
        <v>598.92999999999995</v>
      </c>
      <c r="E6" s="150">
        <v>586.58000000000004</v>
      </c>
      <c r="F6" s="150">
        <v>825.15</v>
      </c>
      <c r="G6" s="150">
        <v>693.44</v>
      </c>
    </row>
    <row r="7" spans="1:7">
      <c r="A7" s="276" t="s">
        <v>136</v>
      </c>
      <c r="B7" s="149"/>
      <c r="C7" s="149"/>
      <c r="D7" s="149"/>
      <c r="E7" s="149"/>
      <c r="F7" s="181"/>
      <c r="G7" s="181"/>
    </row>
    <row r="8" spans="1:7">
      <c r="A8" s="276" t="s">
        <v>137</v>
      </c>
      <c r="B8" s="150"/>
      <c r="C8" s="150"/>
      <c r="D8" s="150"/>
      <c r="E8" s="150"/>
      <c r="F8" s="150"/>
      <c r="G8" s="150"/>
    </row>
    <row r="9" spans="1:7">
      <c r="A9" s="276" t="s">
        <v>138</v>
      </c>
      <c r="B9" s="149">
        <v>0.18</v>
      </c>
      <c r="C9" s="149">
        <v>0</v>
      </c>
      <c r="D9" s="149"/>
      <c r="E9" s="149">
        <v>7</v>
      </c>
      <c r="F9" s="181">
        <v>1.8</v>
      </c>
      <c r="G9" s="181"/>
    </row>
    <row r="10" spans="1:7">
      <c r="A10" s="276" t="s">
        <v>139</v>
      </c>
      <c r="B10" s="150">
        <v>115.45</v>
      </c>
      <c r="C10" s="150">
        <v>125.84</v>
      </c>
      <c r="D10" s="150">
        <v>129.6</v>
      </c>
      <c r="E10" s="150">
        <v>113.57</v>
      </c>
      <c r="F10" s="150">
        <v>85.39</v>
      </c>
      <c r="G10" s="150">
        <v>85.7</v>
      </c>
    </row>
    <row r="11" spans="1:7">
      <c r="A11" s="276" t="s">
        <v>140</v>
      </c>
      <c r="B11" s="149"/>
      <c r="C11" s="149"/>
      <c r="D11" s="149"/>
      <c r="E11" s="149"/>
      <c r="F11" s="181"/>
      <c r="G11" s="181"/>
    </row>
    <row r="12" spans="1:7">
      <c r="A12" s="276" t="s">
        <v>141</v>
      </c>
      <c r="B12" s="150">
        <v>10.55</v>
      </c>
      <c r="C12" s="150">
        <v>12.98</v>
      </c>
      <c r="D12" s="150">
        <v>9.11</v>
      </c>
      <c r="E12" s="150">
        <v>30.19</v>
      </c>
      <c r="F12" s="150">
        <v>19.489999999999998</v>
      </c>
      <c r="G12" s="150">
        <v>24.9</v>
      </c>
    </row>
    <row r="13" spans="1:7">
      <c r="A13" s="276" t="s">
        <v>142</v>
      </c>
      <c r="B13" s="149">
        <v>7.18</v>
      </c>
      <c r="C13" s="149">
        <v>3.54</v>
      </c>
      <c r="D13" s="149">
        <v>3.5</v>
      </c>
      <c r="E13" s="149">
        <v>8.3699999999999992</v>
      </c>
      <c r="F13" s="181">
        <v>7.95</v>
      </c>
      <c r="G13" s="181">
        <v>6.52</v>
      </c>
    </row>
    <row r="14" spans="1:7">
      <c r="A14" s="276" t="s">
        <v>143</v>
      </c>
      <c r="B14" s="150"/>
      <c r="C14" s="150"/>
      <c r="D14" s="150"/>
      <c r="E14" s="150"/>
      <c r="F14" s="150"/>
      <c r="G14" s="150"/>
    </row>
    <row r="15" spans="1:7">
      <c r="A15" s="276" t="s">
        <v>144</v>
      </c>
      <c r="B15" s="149">
        <v>0.22</v>
      </c>
      <c r="C15" s="149">
        <v>0.08</v>
      </c>
      <c r="D15" s="149"/>
      <c r="E15" s="149"/>
      <c r="F15" s="181"/>
      <c r="G15" s="181"/>
    </row>
    <row r="16" spans="1:7">
      <c r="A16" s="276" t="s">
        <v>145</v>
      </c>
      <c r="B16" s="150">
        <v>6.96</v>
      </c>
      <c r="C16" s="150">
        <v>3.47</v>
      </c>
      <c r="D16" s="150">
        <v>3.5</v>
      </c>
      <c r="E16" s="150">
        <v>8.3699999999999992</v>
      </c>
      <c r="F16" s="150">
        <v>7.95</v>
      </c>
      <c r="G16" s="150">
        <v>6.52</v>
      </c>
    </row>
    <row r="17" spans="1:7">
      <c r="A17" s="276" t="s">
        <v>146</v>
      </c>
      <c r="B17" s="149"/>
      <c r="C17" s="149"/>
      <c r="D17" s="149"/>
      <c r="E17" s="149"/>
      <c r="F17" s="181"/>
      <c r="G17" s="181"/>
    </row>
    <row r="18" spans="1:7">
      <c r="A18" s="276" t="s">
        <v>147</v>
      </c>
      <c r="B18" s="150">
        <v>712.73</v>
      </c>
      <c r="C18" s="150">
        <v>772.41</v>
      </c>
      <c r="D18" s="150">
        <v>736.55</v>
      </c>
      <c r="E18" s="150">
        <v>779.77</v>
      </c>
      <c r="F18" s="150">
        <v>821.72</v>
      </c>
      <c r="G18" s="150">
        <v>875.25</v>
      </c>
    </row>
    <row r="19" spans="1:7">
      <c r="A19" s="276" t="s">
        <v>148</v>
      </c>
      <c r="B19" s="149"/>
      <c r="C19" s="149"/>
      <c r="D19" s="149"/>
      <c r="E19" s="149"/>
      <c r="F19" s="181"/>
      <c r="G19" s="181"/>
    </row>
    <row r="20" spans="1:7">
      <c r="A20" s="276" t="s">
        <v>149</v>
      </c>
      <c r="B20" s="150"/>
      <c r="C20" s="150"/>
      <c r="D20" s="150"/>
      <c r="E20" s="150"/>
      <c r="F20" s="150"/>
      <c r="G20" s="150"/>
    </row>
    <row r="21" spans="1:7">
      <c r="A21" s="276" t="s">
        <v>150</v>
      </c>
      <c r="B21" s="149"/>
      <c r="C21" s="149"/>
      <c r="D21" s="149"/>
      <c r="E21" s="149"/>
      <c r="F21" s="181"/>
      <c r="G21" s="181"/>
    </row>
    <row r="22" spans="1:7">
      <c r="A22" s="276" t="s">
        <v>151</v>
      </c>
      <c r="B22" s="150"/>
      <c r="C22" s="150"/>
      <c r="D22" s="150"/>
      <c r="E22" s="150"/>
      <c r="F22" s="150"/>
      <c r="G22" s="150"/>
    </row>
    <row r="23" spans="1:7">
      <c r="A23" s="276" t="s">
        <v>152</v>
      </c>
      <c r="B23" s="149"/>
      <c r="C23" s="149"/>
      <c r="D23" s="149"/>
      <c r="E23" s="149"/>
      <c r="F23" s="181"/>
      <c r="G23" s="181"/>
    </row>
    <row r="24" spans="1:7">
      <c r="A24" s="276" t="s">
        <v>153</v>
      </c>
      <c r="B24" s="150"/>
      <c r="C24" s="150">
        <v>1.66</v>
      </c>
      <c r="D24" s="150">
        <v>69.83</v>
      </c>
      <c r="E24" s="150">
        <v>69.959999999999994</v>
      </c>
      <c r="F24" s="150">
        <v>921.36</v>
      </c>
      <c r="G24" s="150">
        <v>873.11</v>
      </c>
    </row>
    <row r="25" spans="1:7">
      <c r="A25" s="276" t="s">
        <v>154</v>
      </c>
      <c r="B25" s="149"/>
      <c r="C25" s="149"/>
      <c r="D25" s="149"/>
      <c r="E25" s="149"/>
      <c r="F25" s="181"/>
      <c r="G25" s="181"/>
    </row>
    <row r="26" spans="1:7">
      <c r="A26" s="276" t="s">
        <v>155</v>
      </c>
      <c r="B26" s="150"/>
      <c r="C26" s="150"/>
      <c r="D26" s="150"/>
      <c r="E26" s="150"/>
      <c r="F26" s="150"/>
      <c r="G26" s="150"/>
    </row>
    <row r="27" spans="1:7">
      <c r="A27" s="276" t="s">
        <v>156</v>
      </c>
      <c r="B27" s="149"/>
      <c r="C27" s="149"/>
      <c r="D27" s="149"/>
      <c r="E27" s="149"/>
      <c r="F27" s="181"/>
      <c r="G27" s="181"/>
    </row>
    <row r="28" spans="1:7">
      <c r="A28" s="276" t="s">
        <v>157</v>
      </c>
      <c r="B28" s="150">
        <v>1387.93</v>
      </c>
      <c r="C28" s="150">
        <v>1452.81</v>
      </c>
      <c r="D28" s="150">
        <v>1547.52</v>
      </c>
      <c r="E28" s="150">
        <v>1595.45</v>
      </c>
      <c r="F28" s="150">
        <v>2682.86</v>
      </c>
      <c r="G28" s="150">
        <v>2558.91</v>
      </c>
    </row>
    <row r="29" spans="1:7">
      <c r="A29" s="276" t="s">
        <v>158</v>
      </c>
      <c r="B29" s="149"/>
      <c r="C29" s="149"/>
      <c r="D29" s="149"/>
      <c r="E29" s="149"/>
      <c r="F29" s="181"/>
      <c r="G29" s="181"/>
    </row>
    <row r="30" spans="1:7">
      <c r="A30" s="276" t="s">
        <v>159</v>
      </c>
      <c r="B30" s="150"/>
      <c r="C30" s="150"/>
      <c r="D30" s="150"/>
      <c r="E30" s="150"/>
      <c r="F30" s="150"/>
      <c r="G30" s="150"/>
    </row>
    <row r="31" spans="1:7">
      <c r="A31" s="276" t="s">
        <v>160</v>
      </c>
      <c r="B31" s="149"/>
      <c r="C31" s="149"/>
      <c r="D31" s="149"/>
      <c r="E31" s="149"/>
      <c r="F31" s="181"/>
      <c r="G31" s="181"/>
    </row>
    <row r="32" spans="1:7">
      <c r="A32" s="276" t="s">
        <v>161</v>
      </c>
      <c r="B32" s="150"/>
      <c r="C32" s="150"/>
      <c r="D32" s="150"/>
      <c r="E32" s="150"/>
      <c r="F32" s="150"/>
      <c r="G32" s="150"/>
    </row>
    <row r="33" spans="1:7">
      <c r="A33" s="276" t="s">
        <v>162</v>
      </c>
      <c r="B33" s="149"/>
      <c r="C33" s="149"/>
      <c r="D33" s="149"/>
      <c r="E33" s="149"/>
      <c r="F33" s="181"/>
      <c r="G33" s="181"/>
    </row>
    <row r="34" spans="1:7">
      <c r="A34" s="276" t="s">
        <v>163</v>
      </c>
      <c r="B34" s="150"/>
      <c r="C34" s="150"/>
      <c r="D34" s="150"/>
      <c r="E34" s="150"/>
      <c r="F34" s="150"/>
      <c r="G34" s="150"/>
    </row>
    <row r="35" spans="1:7">
      <c r="A35" s="276" t="s">
        <v>164</v>
      </c>
      <c r="B35" s="149">
        <v>2.1</v>
      </c>
      <c r="C35" s="149">
        <v>93.71</v>
      </c>
      <c r="D35" s="149">
        <v>93.52</v>
      </c>
      <c r="E35" s="149">
        <v>198.35</v>
      </c>
      <c r="F35" s="181">
        <v>198.59</v>
      </c>
      <c r="G35" s="181">
        <v>198.36</v>
      </c>
    </row>
    <row r="36" spans="1:7">
      <c r="A36" s="276" t="s">
        <v>165</v>
      </c>
      <c r="B36" s="150"/>
      <c r="C36" s="150"/>
      <c r="D36" s="150"/>
      <c r="E36" s="150"/>
      <c r="F36" s="150"/>
      <c r="G36" s="150"/>
    </row>
    <row r="37" spans="1:7">
      <c r="A37" s="276" t="s">
        <v>166</v>
      </c>
      <c r="B37" s="149"/>
      <c r="C37" s="149"/>
      <c r="D37" s="149"/>
      <c r="E37" s="149"/>
      <c r="F37" s="181"/>
      <c r="G37" s="181"/>
    </row>
    <row r="38" spans="1:7">
      <c r="A38" s="276" t="s">
        <v>167</v>
      </c>
      <c r="B38" s="150"/>
      <c r="C38" s="150"/>
      <c r="D38" s="150"/>
      <c r="E38" s="150"/>
      <c r="F38" s="150"/>
      <c r="G38" s="150"/>
    </row>
    <row r="39" spans="1:7">
      <c r="A39" s="276" t="s">
        <v>168</v>
      </c>
      <c r="B39" s="149"/>
      <c r="C39" s="149"/>
      <c r="D39" s="149"/>
      <c r="E39" s="149"/>
      <c r="F39" s="181"/>
      <c r="G39" s="181"/>
    </row>
    <row r="40" spans="1:7">
      <c r="A40" s="276" t="s">
        <v>169</v>
      </c>
      <c r="B40" s="150">
        <v>159.19999999999999</v>
      </c>
      <c r="C40" s="150">
        <v>73.260000000000005</v>
      </c>
      <c r="D40" s="150">
        <v>99.1</v>
      </c>
      <c r="E40" s="150">
        <v>104.69</v>
      </c>
      <c r="F40" s="150">
        <v>108.92</v>
      </c>
      <c r="G40" s="150">
        <v>101.21</v>
      </c>
    </row>
    <row r="41" spans="1:7">
      <c r="A41" s="276" t="s">
        <v>170</v>
      </c>
      <c r="B41" s="149">
        <v>38.53</v>
      </c>
      <c r="C41" s="149">
        <v>41.71</v>
      </c>
      <c r="D41" s="149">
        <v>39.96</v>
      </c>
      <c r="E41" s="149">
        <v>73.19</v>
      </c>
      <c r="F41" s="181">
        <v>73.13</v>
      </c>
      <c r="G41" s="181">
        <v>71.12</v>
      </c>
    </row>
    <row r="42" spans="1:7">
      <c r="A42" s="276" t="s">
        <v>171</v>
      </c>
      <c r="B42" s="150">
        <v>553.75</v>
      </c>
      <c r="C42" s="150">
        <v>543.63</v>
      </c>
      <c r="D42" s="150">
        <v>563.33000000000004</v>
      </c>
      <c r="E42" s="150">
        <v>623.08000000000004</v>
      </c>
      <c r="F42" s="150">
        <v>732.97</v>
      </c>
      <c r="G42" s="150">
        <v>1119.53</v>
      </c>
    </row>
    <row r="43" spans="1:7">
      <c r="A43" s="276" t="s">
        <v>172</v>
      </c>
      <c r="B43" s="149">
        <v>553.75</v>
      </c>
      <c r="C43" s="149">
        <v>543.63</v>
      </c>
      <c r="D43" s="149">
        <v>563.33000000000004</v>
      </c>
      <c r="E43" s="149">
        <v>623.08000000000004</v>
      </c>
      <c r="F43" s="181">
        <v>732.97</v>
      </c>
      <c r="G43" s="181">
        <v>1119.53</v>
      </c>
    </row>
    <row r="44" spans="1:7">
      <c r="A44" s="276" t="s">
        <v>173</v>
      </c>
      <c r="B44" s="150"/>
      <c r="C44" s="150"/>
      <c r="D44" s="150"/>
      <c r="E44" s="150"/>
      <c r="F44" s="150"/>
      <c r="G44" s="150"/>
    </row>
    <row r="45" spans="1:7">
      <c r="A45" s="276" t="s">
        <v>174</v>
      </c>
      <c r="B45" s="149">
        <v>13.38</v>
      </c>
      <c r="C45" s="149">
        <v>45.2</v>
      </c>
      <c r="D45" s="149">
        <v>8.73</v>
      </c>
      <c r="E45" s="149">
        <v>17.010000000000002</v>
      </c>
      <c r="F45" s="181">
        <v>63.6</v>
      </c>
      <c r="G45" s="181">
        <v>12.67</v>
      </c>
    </row>
    <row r="46" spans="1:7">
      <c r="A46" s="276" t="s">
        <v>175</v>
      </c>
      <c r="B46" s="150">
        <v>13.38</v>
      </c>
      <c r="C46" s="150">
        <v>45.2</v>
      </c>
      <c r="D46" s="150">
        <v>8.73</v>
      </c>
      <c r="E46" s="150">
        <v>17.010000000000002</v>
      </c>
      <c r="F46" s="150">
        <v>63.6</v>
      </c>
      <c r="G46" s="150">
        <v>12.67</v>
      </c>
    </row>
    <row r="47" spans="1:7">
      <c r="A47" s="276" t="s">
        <v>176</v>
      </c>
      <c r="B47" s="149"/>
      <c r="C47" s="149"/>
      <c r="D47" s="149"/>
      <c r="E47" s="149"/>
      <c r="F47" s="181"/>
      <c r="G47" s="181"/>
    </row>
    <row r="48" spans="1:7">
      <c r="A48" s="276" t="s">
        <v>177</v>
      </c>
      <c r="B48" s="150"/>
      <c r="C48" s="150"/>
      <c r="D48" s="150"/>
      <c r="E48" s="150"/>
      <c r="F48" s="150"/>
      <c r="G48" s="150"/>
    </row>
    <row r="49" spans="1:7">
      <c r="A49" s="276" t="s">
        <v>178</v>
      </c>
      <c r="B49" s="149"/>
      <c r="C49" s="149"/>
      <c r="D49" s="149"/>
      <c r="E49" s="149"/>
      <c r="F49" s="181"/>
      <c r="G49" s="181"/>
    </row>
    <row r="50" spans="1:7">
      <c r="A50" s="276" t="s">
        <v>179</v>
      </c>
      <c r="B50" s="150"/>
      <c r="C50" s="150"/>
      <c r="D50" s="150"/>
      <c r="E50" s="150"/>
      <c r="F50" s="150"/>
      <c r="G50" s="150"/>
    </row>
    <row r="51" spans="1:7">
      <c r="A51" s="276" t="s">
        <v>180</v>
      </c>
      <c r="B51" s="149">
        <v>84.19</v>
      </c>
      <c r="C51" s="149">
        <v>82.19</v>
      </c>
      <c r="D51" s="149">
        <v>79.989999999999995</v>
      </c>
      <c r="E51" s="149">
        <v>210.23</v>
      </c>
      <c r="F51" s="181">
        <v>210.4</v>
      </c>
      <c r="G51" s="181">
        <v>205.73</v>
      </c>
    </row>
    <row r="52" spans="1:7">
      <c r="A52" s="276" t="s">
        <v>181</v>
      </c>
      <c r="B52" s="150"/>
      <c r="C52" s="150"/>
      <c r="D52" s="150"/>
      <c r="E52" s="150"/>
      <c r="F52" s="150"/>
      <c r="G52" s="150"/>
    </row>
    <row r="53" spans="1:7">
      <c r="A53" s="276" t="s">
        <v>182</v>
      </c>
      <c r="B53" s="149">
        <v>2.14</v>
      </c>
      <c r="C53" s="149"/>
      <c r="D53" s="149"/>
      <c r="E53" s="149">
        <v>16.88</v>
      </c>
      <c r="F53" s="181">
        <v>18.03</v>
      </c>
      <c r="G53" s="181">
        <v>18.11</v>
      </c>
    </row>
    <row r="54" spans="1:7">
      <c r="A54" s="276" t="s">
        <v>183</v>
      </c>
      <c r="B54" s="150">
        <v>0.18</v>
      </c>
      <c r="C54" s="150">
        <v>1.41</v>
      </c>
      <c r="D54" s="150">
        <v>1.98</v>
      </c>
      <c r="E54" s="150">
        <v>3.11</v>
      </c>
      <c r="F54" s="150">
        <v>5.0599999999999996</v>
      </c>
      <c r="G54" s="150">
        <v>4.17</v>
      </c>
    </row>
    <row r="55" spans="1:7">
      <c r="A55" s="276" t="s">
        <v>184</v>
      </c>
      <c r="B55" s="149">
        <v>20.170000000000002</v>
      </c>
      <c r="C55" s="149">
        <v>27.32</v>
      </c>
      <c r="D55" s="149">
        <v>25.44</v>
      </c>
      <c r="E55" s="149">
        <v>44.65</v>
      </c>
      <c r="F55" s="181">
        <v>70.52</v>
      </c>
      <c r="G55" s="181">
        <v>74.459999999999994</v>
      </c>
    </row>
    <row r="56" spans="1:7">
      <c r="A56" s="276" t="s">
        <v>185</v>
      </c>
      <c r="B56" s="150">
        <v>5.7</v>
      </c>
      <c r="C56" s="150">
        <v>12.06</v>
      </c>
      <c r="D56" s="150">
        <v>4.63</v>
      </c>
      <c r="E56" s="150">
        <v>8.23</v>
      </c>
      <c r="F56" s="150">
        <v>5.45</v>
      </c>
      <c r="G56" s="150">
        <v>12.17</v>
      </c>
    </row>
    <row r="57" spans="1:7">
      <c r="A57" s="276" t="s">
        <v>186</v>
      </c>
      <c r="B57" s="149"/>
      <c r="C57" s="149"/>
      <c r="D57" s="149"/>
      <c r="E57" s="149"/>
      <c r="F57" s="181"/>
      <c r="G57" s="181"/>
    </row>
    <row r="58" spans="1:7">
      <c r="A58" s="276" t="s">
        <v>187</v>
      </c>
      <c r="B58" s="150"/>
      <c r="C58" s="150"/>
      <c r="D58" s="150"/>
      <c r="E58" s="150"/>
      <c r="F58" s="150"/>
      <c r="G58" s="150"/>
    </row>
    <row r="59" spans="1:7">
      <c r="A59" s="276" t="s">
        <v>188</v>
      </c>
      <c r="B59" s="149">
        <v>879.34</v>
      </c>
      <c r="C59" s="149">
        <v>920.48</v>
      </c>
      <c r="D59" s="149">
        <v>916.68</v>
      </c>
      <c r="E59" s="149">
        <v>1299.42</v>
      </c>
      <c r="F59" s="181">
        <v>1486.66</v>
      </c>
      <c r="G59" s="181">
        <v>1817.54</v>
      </c>
    </row>
    <row r="60" spans="1:7">
      <c r="A60" s="276" t="s">
        <v>189</v>
      </c>
      <c r="B60" s="150"/>
      <c r="C60" s="150"/>
      <c r="D60" s="150"/>
      <c r="E60" s="150"/>
      <c r="F60" s="150"/>
      <c r="G60" s="150"/>
    </row>
    <row r="61" spans="1:7">
      <c r="A61" s="276" t="s">
        <v>190</v>
      </c>
      <c r="B61" s="149"/>
      <c r="C61" s="149"/>
      <c r="D61" s="149"/>
      <c r="E61" s="149"/>
      <c r="F61" s="181"/>
      <c r="G61" s="181"/>
    </row>
    <row r="62" spans="1:7">
      <c r="A62" s="276" t="s">
        <v>191</v>
      </c>
      <c r="B62" s="150">
        <v>2267.27</v>
      </c>
      <c r="C62" s="150">
        <v>2373.29</v>
      </c>
      <c r="D62" s="150">
        <v>2464.1999999999998</v>
      </c>
      <c r="E62" s="150">
        <v>2894.87</v>
      </c>
      <c r="F62" s="150">
        <v>4169.53</v>
      </c>
      <c r="G62" s="150">
        <v>4376.45</v>
      </c>
    </row>
    <row r="63" spans="1:7">
      <c r="A63" s="276" t="s">
        <v>192</v>
      </c>
      <c r="B63" s="149"/>
      <c r="C63" s="149"/>
      <c r="D63" s="149"/>
      <c r="E63" s="149"/>
      <c r="F63" s="181"/>
      <c r="G63" s="181"/>
    </row>
    <row r="64" spans="1:7">
      <c r="A64" s="276" t="s">
        <v>193</v>
      </c>
      <c r="B64" s="150"/>
      <c r="C64" s="150"/>
      <c r="D64" s="150">
        <v>90</v>
      </c>
      <c r="E64" s="150">
        <v>325.36</v>
      </c>
      <c r="F64" s="150">
        <v>289.58</v>
      </c>
      <c r="G64" s="150">
        <v>259.63</v>
      </c>
    </row>
    <row r="65" spans="1:7">
      <c r="A65" s="276" t="s">
        <v>194</v>
      </c>
      <c r="B65" s="149"/>
      <c r="C65" s="149"/>
      <c r="D65" s="149"/>
      <c r="E65" s="149"/>
      <c r="F65" s="181"/>
      <c r="G65" s="181"/>
    </row>
    <row r="66" spans="1:7">
      <c r="A66" s="276" t="s">
        <v>195</v>
      </c>
      <c r="B66" s="150"/>
      <c r="C66" s="150"/>
      <c r="D66" s="150"/>
      <c r="E66" s="150"/>
      <c r="F66" s="150"/>
      <c r="G66" s="150"/>
    </row>
    <row r="67" spans="1:7">
      <c r="A67" s="276" t="s">
        <v>196</v>
      </c>
      <c r="B67" s="149"/>
      <c r="C67" s="149"/>
      <c r="D67" s="149"/>
      <c r="E67" s="149">
        <v>23</v>
      </c>
      <c r="F67" s="181"/>
      <c r="G67" s="181"/>
    </row>
    <row r="68" spans="1:7">
      <c r="A68" s="276" t="s">
        <v>197</v>
      </c>
      <c r="B68" s="150">
        <v>129.65</v>
      </c>
      <c r="C68" s="150">
        <v>131.30000000000001</v>
      </c>
      <c r="D68" s="150">
        <v>133.97</v>
      </c>
      <c r="E68" s="150">
        <v>144.09</v>
      </c>
      <c r="F68" s="150">
        <v>161.91</v>
      </c>
      <c r="G68" s="150">
        <v>193.41</v>
      </c>
    </row>
    <row r="69" spans="1:7">
      <c r="A69" s="276" t="s">
        <v>198</v>
      </c>
      <c r="B69" s="149">
        <v>4.7300000000000004</v>
      </c>
      <c r="C69" s="149">
        <v>6.94</v>
      </c>
      <c r="D69" s="149">
        <v>4.5999999999999996</v>
      </c>
      <c r="E69" s="149">
        <v>11.5</v>
      </c>
      <c r="F69" s="181">
        <v>22.63</v>
      </c>
      <c r="G69" s="181">
        <v>19.690000000000001</v>
      </c>
    </row>
    <row r="70" spans="1:7">
      <c r="A70" s="276" t="s">
        <v>199</v>
      </c>
      <c r="B70" s="150"/>
      <c r="C70" s="150"/>
      <c r="D70" s="150"/>
      <c r="E70" s="150"/>
      <c r="F70" s="150"/>
      <c r="G70" s="150"/>
    </row>
    <row r="71" spans="1:7">
      <c r="A71" s="276" t="s">
        <v>200</v>
      </c>
      <c r="B71" s="149"/>
      <c r="C71" s="149"/>
      <c r="D71" s="149"/>
      <c r="E71" s="149"/>
      <c r="F71" s="181"/>
      <c r="G71" s="181"/>
    </row>
    <row r="72" spans="1:7">
      <c r="A72" s="276" t="s">
        <v>201</v>
      </c>
      <c r="B72" s="150">
        <v>47.96</v>
      </c>
      <c r="C72" s="150">
        <v>50.71</v>
      </c>
      <c r="D72" s="150">
        <v>34.94</v>
      </c>
      <c r="E72" s="150">
        <v>35.909999999999997</v>
      </c>
      <c r="F72" s="150">
        <v>148.58000000000001</v>
      </c>
      <c r="G72" s="150">
        <v>87.12</v>
      </c>
    </row>
    <row r="73" spans="1:7">
      <c r="A73" s="276" t="s">
        <v>202</v>
      </c>
      <c r="B73" s="149">
        <v>-6.36</v>
      </c>
      <c r="C73" s="149">
        <v>-11.95</v>
      </c>
      <c r="D73" s="149">
        <v>11.94</v>
      </c>
      <c r="E73" s="149">
        <v>20.49</v>
      </c>
      <c r="F73" s="181">
        <v>41.62</v>
      </c>
      <c r="G73" s="181">
        <v>60.9</v>
      </c>
    </row>
    <row r="74" spans="1:7">
      <c r="A74" s="276" t="s">
        <v>203</v>
      </c>
      <c r="B74" s="150">
        <v>82.02</v>
      </c>
      <c r="C74" s="150">
        <v>98.75</v>
      </c>
      <c r="D74" s="150">
        <v>89.1</v>
      </c>
      <c r="E74" s="150">
        <v>99.3</v>
      </c>
      <c r="F74" s="150">
        <v>115.01</v>
      </c>
      <c r="G74" s="150">
        <v>246.73</v>
      </c>
    </row>
    <row r="75" spans="1:7">
      <c r="A75" s="276" t="s">
        <v>204</v>
      </c>
      <c r="B75" s="149">
        <v>0.15</v>
      </c>
      <c r="C75" s="149">
        <v>0.14000000000000001</v>
      </c>
      <c r="D75" s="149">
        <v>0.2</v>
      </c>
      <c r="E75" s="149">
        <v>1.28</v>
      </c>
      <c r="F75" s="181">
        <v>0.44</v>
      </c>
      <c r="G75" s="181">
        <v>0.11</v>
      </c>
    </row>
    <row r="76" spans="1:7">
      <c r="A76" s="276" t="s">
        <v>205</v>
      </c>
      <c r="B76" s="150">
        <v>0.34</v>
      </c>
      <c r="C76" s="150">
        <v>0</v>
      </c>
      <c r="D76" s="150"/>
      <c r="E76" s="150"/>
      <c r="F76" s="150"/>
      <c r="G76" s="150"/>
    </row>
    <row r="77" spans="1:7">
      <c r="A77" s="276" t="s">
        <v>206</v>
      </c>
      <c r="B77" s="149">
        <v>81.540000000000006</v>
      </c>
      <c r="C77" s="149">
        <v>98.61</v>
      </c>
      <c r="D77" s="149">
        <v>88.9</v>
      </c>
      <c r="E77" s="149">
        <v>98.02</v>
      </c>
      <c r="F77" s="181">
        <v>114.56</v>
      </c>
      <c r="G77" s="181">
        <v>246.62</v>
      </c>
    </row>
    <row r="78" spans="1:7">
      <c r="A78" s="276" t="s">
        <v>207</v>
      </c>
      <c r="B78" s="150"/>
      <c r="C78" s="150"/>
      <c r="D78" s="150"/>
      <c r="E78" s="150"/>
      <c r="F78" s="150"/>
      <c r="G78" s="150"/>
    </row>
    <row r="79" spans="1:7">
      <c r="A79" s="276" t="s">
        <v>208</v>
      </c>
      <c r="B79" s="149"/>
      <c r="C79" s="149">
        <v>128</v>
      </c>
      <c r="D79" s="149"/>
      <c r="E79" s="149">
        <v>100</v>
      </c>
      <c r="F79" s="181"/>
      <c r="G79" s="181">
        <v>70</v>
      </c>
    </row>
    <row r="80" spans="1:7">
      <c r="A80" s="276" t="s">
        <v>209</v>
      </c>
      <c r="B80" s="150"/>
      <c r="C80" s="150"/>
      <c r="D80" s="150"/>
      <c r="E80" s="150"/>
      <c r="F80" s="150"/>
      <c r="G80" s="150"/>
    </row>
    <row r="81" spans="1:7">
      <c r="A81" s="276" t="s">
        <v>210</v>
      </c>
      <c r="B81" s="149"/>
      <c r="C81" s="149"/>
      <c r="D81" s="149"/>
      <c r="E81" s="149"/>
      <c r="F81" s="181"/>
      <c r="G81" s="181"/>
    </row>
    <row r="82" spans="1:7">
      <c r="A82" s="276" t="s">
        <v>211</v>
      </c>
      <c r="B82" s="150"/>
      <c r="C82" s="150"/>
      <c r="D82" s="150"/>
      <c r="E82" s="150"/>
      <c r="F82" s="150"/>
      <c r="G82" s="150"/>
    </row>
    <row r="83" spans="1:7">
      <c r="A83" s="276" t="s">
        <v>212</v>
      </c>
      <c r="B83" s="149"/>
      <c r="C83" s="149"/>
      <c r="D83" s="149"/>
      <c r="E83" s="149"/>
      <c r="F83" s="181"/>
      <c r="G83" s="181">
        <v>39.520000000000003</v>
      </c>
    </row>
    <row r="84" spans="1:7">
      <c r="A84" s="276" t="s">
        <v>213</v>
      </c>
      <c r="B84" s="150"/>
      <c r="C84" s="150"/>
      <c r="D84" s="150"/>
      <c r="E84" s="150"/>
      <c r="F84" s="150"/>
      <c r="G84" s="150"/>
    </row>
    <row r="85" spans="1:7">
      <c r="A85" s="276" t="s">
        <v>214</v>
      </c>
      <c r="B85" s="149"/>
      <c r="C85" s="149"/>
      <c r="D85" s="149"/>
      <c r="E85" s="149"/>
      <c r="F85" s="181"/>
      <c r="G85" s="181"/>
    </row>
    <row r="86" spans="1:7">
      <c r="A86" s="276" t="s">
        <v>215</v>
      </c>
      <c r="B86" s="150"/>
      <c r="C86" s="150"/>
      <c r="D86" s="150"/>
      <c r="E86" s="150"/>
      <c r="F86" s="150"/>
      <c r="G86" s="150"/>
    </row>
    <row r="87" spans="1:7">
      <c r="A87" s="276" t="s">
        <v>216</v>
      </c>
      <c r="B87" s="149">
        <v>258</v>
      </c>
      <c r="C87" s="149">
        <v>403.74</v>
      </c>
      <c r="D87" s="149">
        <v>364.55</v>
      </c>
      <c r="E87" s="149">
        <v>759.66</v>
      </c>
      <c r="F87" s="181">
        <v>779.33</v>
      </c>
      <c r="G87" s="181">
        <v>977.02</v>
      </c>
    </row>
    <row r="88" spans="1:7">
      <c r="A88" s="276" t="s">
        <v>217</v>
      </c>
      <c r="B88" s="150"/>
      <c r="C88" s="150"/>
      <c r="D88" s="150"/>
      <c r="E88" s="150"/>
      <c r="F88" s="150"/>
      <c r="G88" s="150"/>
    </row>
    <row r="89" spans="1:7">
      <c r="A89" s="276" t="s">
        <v>218</v>
      </c>
      <c r="B89" s="149">
        <v>128</v>
      </c>
      <c r="C89" s="149">
        <v>0</v>
      </c>
      <c r="D89" s="149">
        <v>100</v>
      </c>
      <c r="E89" s="149"/>
      <c r="F89" s="181">
        <v>70</v>
      </c>
      <c r="G89" s="181"/>
    </row>
    <row r="90" spans="1:7">
      <c r="A90" s="276" t="s">
        <v>219</v>
      </c>
      <c r="B90" s="150"/>
      <c r="C90" s="150"/>
      <c r="D90" s="150"/>
      <c r="E90" s="150"/>
      <c r="F90" s="150"/>
      <c r="G90" s="150"/>
    </row>
    <row r="91" spans="1:7">
      <c r="A91" s="276" t="s">
        <v>220</v>
      </c>
      <c r="B91" s="149"/>
      <c r="C91" s="149"/>
      <c r="D91" s="149"/>
      <c r="E91" s="149"/>
      <c r="F91" s="181"/>
      <c r="G91" s="181"/>
    </row>
    <row r="92" spans="1:7">
      <c r="A92" s="276" t="s">
        <v>221</v>
      </c>
      <c r="B92" s="150">
        <v>61.98</v>
      </c>
      <c r="C92" s="150">
        <v>62.25</v>
      </c>
      <c r="D92" s="150"/>
      <c r="E92" s="150"/>
      <c r="F92" s="150"/>
      <c r="G92" s="150"/>
    </row>
    <row r="93" spans="1:7">
      <c r="A93" s="276" t="s">
        <v>222</v>
      </c>
      <c r="B93" s="149">
        <v>61.98</v>
      </c>
      <c r="C93" s="149">
        <v>62.25</v>
      </c>
      <c r="D93" s="149"/>
      <c r="E93" s="149"/>
      <c r="F93" s="181"/>
      <c r="G93" s="181"/>
    </row>
    <row r="94" spans="1:7">
      <c r="A94" s="276" t="s">
        <v>223</v>
      </c>
      <c r="B94" s="150"/>
      <c r="C94" s="150"/>
      <c r="D94" s="150"/>
      <c r="E94" s="150"/>
      <c r="F94" s="150"/>
      <c r="G94" s="150"/>
    </row>
    <row r="95" spans="1:7">
      <c r="A95" s="276" t="s">
        <v>224</v>
      </c>
      <c r="B95" s="149"/>
      <c r="C95" s="149">
        <v>45.22</v>
      </c>
      <c r="D95" s="149">
        <v>45.27</v>
      </c>
      <c r="E95" s="149">
        <v>44.49</v>
      </c>
      <c r="F95" s="181">
        <v>31.14</v>
      </c>
      <c r="G95" s="181">
        <v>26.09</v>
      </c>
    </row>
    <row r="96" spans="1:7">
      <c r="A96" s="276" t="s">
        <v>225</v>
      </c>
      <c r="B96" s="150">
        <v>0.52</v>
      </c>
      <c r="C96" s="150">
        <v>0.21</v>
      </c>
      <c r="D96" s="150">
        <v>0.2</v>
      </c>
      <c r="E96" s="150">
        <v>15.63</v>
      </c>
      <c r="F96" s="150">
        <v>14.08</v>
      </c>
      <c r="G96" s="150">
        <v>10.47</v>
      </c>
    </row>
    <row r="97" spans="1:7">
      <c r="A97" s="276" t="s">
        <v>226</v>
      </c>
      <c r="B97" s="149">
        <v>0.23</v>
      </c>
      <c r="C97" s="149">
        <v>0.47</v>
      </c>
      <c r="D97" s="149">
        <v>0.44</v>
      </c>
      <c r="E97" s="149">
        <v>12.25</v>
      </c>
      <c r="F97" s="181">
        <v>11.37</v>
      </c>
      <c r="G97" s="181">
        <v>9.61</v>
      </c>
    </row>
    <row r="98" spans="1:7">
      <c r="A98" s="276" t="s">
        <v>710</v>
      </c>
      <c r="B98" s="150"/>
      <c r="C98" s="150">
        <v>11.14</v>
      </c>
      <c r="D98" s="150">
        <v>22.67</v>
      </c>
      <c r="E98" s="150">
        <v>35.83</v>
      </c>
      <c r="F98" s="150">
        <v>33.08</v>
      </c>
      <c r="G98" s="150">
        <v>27.31</v>
      </c>
    </row>
    <row r="99" spans="1:7">
      <c r="A99" s="276" t="s">
        <v>227</v>
      </c>
      <c r="B99" s="149">
        <v>12.44</v>
      </c>
      <c r="C99" s="149"/>
      <c r="D99" s="149"/>
      <c r="E99" s="149"/>
      <c r="F99" s="181"/>
      <c r="G99" s="181"/>
    </row>
    <row r="100" spans="1:7">
      <c r="A100" s="276" t="s">
        <v>228</v>
      </c>
      <c r="B100" s="150"/>
      <c r="C100" s="150"/>
      <c r="D100" s="150"/>
      <c r="E100" s="150"/>
      <c r="F100" s="150"/>
      <c r="G100" s="150"/>
    </row>
    <row r="101" spans="1:7">
      <c r="A101" s="276" t="s">
        <v>229</v>
      </c>
      <c r="B101" s="149"/>
      <c r="C101" s="149"/>
      <c r="D101" s="149"/>
      <c r="E101" s="149"/>
      <c r="F101" s="181"/>
      <c r="G101" s="181"/>
    </row>
    <row r="102" spans="1:7">
      <c r="A102" s="276" t="s">
        <v>230</v>
      </c>
      <c r="B102" s="150">
        <v>203.16</v>
      </c>
      <c r="C102" s="150">
        <v>119.29</v>
      </c>
      <c r="D102" s="150">
        <v>168.58</v>
      </c>
      <c r="E102" s="150">
        <v>108.2</v>
      </c>
      <c r="F102" s="150">
        <v>159.66</v>
      </c>
      <c r="G102" s="150">
        <v>73.47</v>
      </c>
    </row>
    <row r="103" spans="1:7">
      <c r="A103" s="276" t="s">
        <v>231</v>
      </c>
      <c r="B103" s="149"/>
      <c r="C103" s="149"/>
      <c r="D103" s="149"/>
      <c r="E103" s="149"/>
      <c r="F103" s="181"/>
      <c r="G103" s="181"/>
    </row>
    <row r="104" spans="1:7">
      <c r="A104" s="276" t="s">
        <v>232</v>
      </c>
      <c r="B104" s="150"/>
      <c r="C104" s="150"/>
      <c r="D104" s="150"/>
      <c r="E104" s="150"/>
      <c r="F104" s="150"/>
      <c r="G104" s="150"/>
    </row>
    <row r="105" spans="1:7">
      <c r="A105" s="276" t="s">
        <v>233</v>
      </c>
      <c r="B105" s="149">
        <v>461.15</v>
      </c>
      <c r="C105" s="149">
        <v>523.03</v>
      </c>
      <c r="D105" s="149">
        <v>533.13</v>
      </c>
      <c r="E105" s="149">
        <v>867.86</v>
      </c>
      <c r="F105" s="181">
        <v>939</v>
      </c>
      <c r="G105" s="181">
        <v>1050.48</v>
      </c>
    </row>
    <row r="106" spans="1:7">
      <c r="A106" s="276" t="s">
        <v>234</v>
      </c>
      <c r="B106" s="150"/>
      <c r="C106" s="150"/>
      <c r="D106" s="150"/>
      <c r="E106" s="150"/>
      <c r="F106" s="150"/>
      <c r="G106" s="150"/>
    </row>
    <row r="107" spans="1:7">
      <c r="A107" s="276" t="s">
        <v>235</v>
      </c>
      <c r="B107" s="149">
        <v>956</v>
      </c>
      <c r="C107" s="149">
        <v>956</v>
      </c>
      <c r="D107" s="149">
        <v>956</v>
      </c>
      <c r="E107" s="149">
        <v>956</v>
      </c>
      <c r="F107" s="181">
        <v>1044.8599999999999</v>
      </c>
      <c r="G107" s="181">
        <v>1358.32</v>
      </c>
    </row>
    <row r="108" spans="1:7">
      <c r="A108" s="276" t="s">
        <v>236</v>
      </c>
      <c r="B108" s="150"/>
      <c r="C108" s="150"/>
      <c r="D108" s="150"/>
      <c r="E108" s="150"/>
      <c r="F108" s="150"/>
      <c r="G108" s="150"/>
    </row>
    <row r="109" spans="1:7">
      <c r="A109" s="276" t="s">
        <v>237</v>
      </c>
      <c r="B109" s="149"/>
      <c r="C109" s="149"/>
      <c r="D109" s="149"/>
      <c r="E109" s="149"/>
      <c r="F109" s="181"/>
      <c r="G109" s="181"/>
    </row>
    <row r="110" spans="1:7">
      <c r="A110" s="276" t="s">
        <v>238</v>
      </c>
      <c r="B110" s="150"/>
      <c r="C110" s="150"/>
      <c r="D110" s="150"/>
      <c r="E110" s="150"/>
      <c r="F110" s="150"/>
      <c r="G110" s="150"/>
    </row>
    <row r="111" spans="1:7">
      <c r="A111" s="276" t="s">
        <v>239</v>
      </c>
      <c r="B111" s="149">
        <v>323.67</v>
      </c>
      <c r="C111" s="149">
        <v>318.10000000000002</v>
      </c>
      <c r="D111" s="149">
        <v>318.10000000000002</v>
      </c>
      <c r="E111" s="149">
        <v>318.10000000000002</v>
      </c>
      <c r="F111" s="181">
        <v>1294.81</v>
      </c>
      <c r="G111" s="181">
        <v>981.36</v>
      </c>
    </row>
    <row r="112" spans="1:7">
      <c r="A112" s="276" t="s">
        <v>240</v>
      </c>
      <c r="B112" s="150"/>
      <c r="C112" s="150"/>
      <c r="D112" s="150"/>
      <c r="E112" s="150"/>
      <c r="F112" s="150"/>
      <c r="G112" s="150"/>
    </row>
    <row r="113" spans="1:7">
      <c r="A113" s="276" t="s">
        <v>241</v>
      </c>
      <c r="B113" s="149"/>
      <c r="C113" s="149">
        <v>-1.18</v>
      </c>
      <c r="D113" s="149">
        <v>-1.18</v>
      </c>
      <c r="E113" s="149">
        <v>0.79</v>
      </c>
      <c r="F113" s="181">
        <v>25.31</v>
      </c>
      <c r="G113" s="181">
        <v>31.57</v>
      </c>
    </row>
    <row r="114" spans="1:7">
      <c r="A114" s="276" t="s">
        <v>242</v>
      </c>
      <c r="B114" s="150"/>
      <c r="C114" s="150"/>
      <c r="D114" s="150"/>
      <c r="E114" s="150"/>
      <c r="F114" s="150"/>
      <c r="G114" s="150"/>
    </row>
    <row r="115" spans="1:7">
      <c r="A115" s="276" t="s">
        <v>243</v>
      </c>
      <c r="B115" s="149">
        <v>73.53</v>
      </c>
      <c r="C115" s="149">
        <v>79.39</v>
      </c>
      <c r="D115" s="149">
        <v>87.61</v>
      </c>
      <c r="E115" s="149">
        <v>97.1</v>
      </c>
      <c r="F115" s="181">
        <v>108.01</v>
      </c>
      <c r="G115" s="181">
        <v>109.85</v>
      </c>
    </row>
    <row r="116" spans="1:7">
      <c r="A116" s="276" t="s">
        <v>244</v>
      </c>
      <c r="B116" s="150"/>
      <c r="C116" s="150"/>
      <c r="D116" s="150"/>
      <c r="E116" s="150"/>
      <c r="F116" s="150"/>
      <c r="G116" s="150"/>
    </row>
    <row r="117" spans="1:7">
      <c r="A117" s="276" t="s">
        <v>245</v>
      </c>
      <c r="B117" s="149">
        <v>449.48</v>
      </c>
      <c r="C117" s="149">
        <v>487.71</v>
      </c>
      <c r="D117" s="149">
        <v>558.55999999999995</v>
      </c>
      <c r="E117" s="149">
        <v>633.64</v>
      </c>
      <c r="F117" s="181">
        <v>720.52</v>
      </c>
      <c r="G117" s="181">
        <v>811.34</v>
      </c>
    </row>
    <row r="118" spans="1:7">
      <c r="A118" s="276" t="s">
        <v>246</v>
      </c>
      <c r="B118" s="150">
        <v>-5.43</v>
      </c>
      <c r="C118" s="150"/>
      <c r="D118" s="150"/>
      <c r="E118" s="150"/>
      <c r="F118" s="150"/>
      <c r="G118" s="150"/>
    </row>
    <row r="119" spans="1:7">
      <c r="A119" s="276" t="s">
        <v>247</v>
      </c>
      <c r="B119" s="149"/>
      <c r="C119" s="149"/>
      <c r="D119" s="149"/>
      <c r="E119" s="149"/>
      <c r="F119" s="181"/>
      <c r="G119" s="181"/>
    </row>
    <row r="120" spans="1:7">
      <c r="A120" s="276" t="s">
        <v>248</v>
      </c>
      <c r="B120" s="150"/>
      <c r="C120" s="150"/>
      <c r="D120" s="150"/>
      <c r="E120" s="150"/>
      <c r="F120" s="150"/>
      <c r="G120" s="150"/>
    </row>
    <row r="121" spans="1:7">
      <c r="A121" s="276" t="s">
        <v>249</v>
      </c>
      <c r="B121" s="149"/>
      <c r="C121" s="149"/>
      <c r="D121" s="149"/>
      <c r="E121" s="149"/>
      <c r="F121" s="181"/>
      <c r="G121" s="181"/>
    </row>
    <row r="122" spans="1:7">
      <c r="A122" s="276" t="s">
        <v>250</v>
      </c>
      <c r="B122" s="150">
        <v>1797.25</v>
      </c>
      <c r="C122" s="150">
        <v>1840.02</v>
      </c>
      <c r="D122" s="150">
        <v>1919.09</v>
      </c>
      <c r="E122" s="150">
        <v>2005.63</v>
      </c>
      <c r="F122" s="150">
        <v>3193.51</v>
      </c>
      <c r="G122" s="150">
        <v>3292.43</v>
      </c>
    </row>
    <row r="123" spans="1:7">
      <c r="A123" s="276" t="s">
        <v>251</v>
      </c>
      <c r="B123" s="149">
        <v>8.86</v>
      </c>
      <c r="C123" s="149">
        <v>10.23</v>
      </c>
      <c r="D123" s="149">
        <v>11.98</v>
      </c>
      <c r="E123" s="149">
        <v>21.38</v>
      </c>
      <c r="F123" s="181">
        <v>37.020000000000003</v>
      </c>
      <c r="G123" s="181">
        <v>33.53</v>
      </c>
    </row>
    <row r="124" spans="1:7">
      <c r="A124" s="276" t="s">
        <v>252</v>
      </c>
      <c r="B124" s="150">
        <v>1806.11</v>
      </c>
      <c r="C124" s="150">
        <v>1850.26</v>
      </c>
      <c r="D124" s="150">
        <v>1931.07</v>
      </c>
      <c r="E124" s="150">
        <v>2027.01</v>
      </c>
      <c r="F124" s="150">
        <v>3230.53</v>
      </c>
      <c r="G124" s="150">
        <v>3325.97</v>
      </c>
    </row>
    <row r="125" spans="1:7">
      <c r="A125" s="276" t="s">
        <v>253</v>
      </c>
      <c r="B125" s="149"/>
      <c r="C125" s="149"/>
      <c r="D125" s="149"/>
      <c r="E125" s="149"/>
      <c r="F125" s="181"/>
      <c r="G125" s="181"/>
    </row>
    <row r="126" spans="1:7">
      <c r="A126" s="276" t="s">
        <v>254</v>
      </c>
      <c r="B126" s="150"/>
      <c r="C126" s="150"/>
      <c r="D126" s="150"/>
      <c r="E126" s="150"/>
      <c r="F126" s="150"/>
      <c r="G126" s="150"/>
    </row>
    <row r="127" spans="1:7">
      <c r="A127" s="276" t="s">
        <v>255</v>
      </c>
      <c r="B127" s="149">
        <v>2267.27</v>
      </c>
      <c r="C127" s="149">
        <v>2373.29</v>
      </c>
      <c r="D127" s="149">
        <v>2464.1999999999998</v>
      </c>
      <c r="E127" s="149">
        <v>2894.87</v>
      </c>
      <c r="F127" s="181">
        <v>4169.53</v>
      </c>
      <c r="G127" s="181">
        <v>4376.45</v>
      </c>
    </row>
  </sheetData>
  <phoneticPr fontId="3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9"/>
  <sheetViews>
    <sheetView workbookViewId="0">
      <pane xSplit="1" ySplit="4" topLeftCell="B5" activePane="bottomRight" state="frozen"/>
      <selection pane="topRight"/>
      <selection pane="bottomLeft"/>
      <selection pane="bottomRight" activeCell="I14" sqref="I14"/>
    </sheetView>
  </sheetViews>
  <sheetFormatPr defaultColWidth="9" defaultRowHeight="13.5"/>
  <cols>
    <col min="1" max="1" width="44.375" style="18" customWidth="1"/>
    <col min="2" max="7" width="11.625" style="18" customWidth="1"/>
    <col min="8" max="16384" width="9" style="18"/>
  </cols>
  <sheetData>
    <row r="1" spans="1:7">
      <c r="A1" s="386" t="s">
        <v>704</v>
      </c>
      <c r="B1" s="211"/>
      <c r="C1" s="211"/>
      <c r="D1" s="211"/>
      <c r="E1" s="211"/>
      <c r="F1" s="211"/>
      <c r="G1" s="211"/>
    </row>
    <row r="2" spans="1:7">
      <c r="A2" s="276"/>
      <c r="B2" s="277" t="s">
        <v>647</v>
      </c>
      <c r="C2" s="277" t="s">
        <v>51</v>
      </c>
      <c r="D2" s="277" t="s">
        <v>52</v>
      </c>
      <c r="E2" s="277" t="s">
        <v>53</v>
      </c>
      <c r="F2" s="277" t="s">
        <v>54</v>
      </c>
      <c r="G2" s="277" t="s">
        <v>55</v>
      </c>
    </row>
    <row r="3" spans="1:7">
      <c r="A3" s="276" t="s">
        <v>56</v>
      </c>
      <c r="B3" s="149" t="s">
        <v>57</v>
      </c>
      <c r="C3" s="149" t="s">
        <v>57</v>
      </c>
      <c r="D3" s="149" t="s">
        <v>57</v>
      </c>
      <c r="E3" s="149" t="s">
        <v>57</v>
      </c>
      <c r="F3" s="149" t="s">
        <v>57</v>
      </c>
      <c r="G3" s="149" t="s">
        <v>57</v>
      </c>
    </row>
    <row r="4" spans="1:7">
      <c r="A4" s="276" t="s">
        <v>58</v>
      </c>
      <c r="B4" s="150" t="s">
        <v>59</v>
      </c>
      <c r="C4" s="150" t="s">
        <v>59</v>
      </c>
      <c r="D4" s="150" t="s">
        <v>59</v>
      </c>
      <c r="E4" s="150" t="s">
        <v>59</v>
      </c>
      <c r="F4" s="150" t="s">
        <v>59</v>
      </c>
      <c r="G4" s="150" t="s">
        <v>59</v>
      </c>
    </row>
    <row r="5" spans="1:7">
      <c r="A5" s="276" t="s">
        <v>259</v>
      </c>
      <c r="B5" s="149" t="s">
        <v>115</v>
      </c>
      <c r="C5" s="149" t="s">
        <v>115</v>
      </c>
      <c r="D5" s="149" t="s">
        <v>115</v>
      </c>
      <c r="E5" s="149" t="s">
        <v>115</v>
      </c>
      <c r="F5" s="149" t="s">
        <v>115</v>
      </c>
      <c r="G5" s="149" t="s">
        <v>115</v>
      </c>
    </row>
    <row r="6" spans="1:7">
      <c r="A6" s="276" t="s">
        <v>260</v>
      </c>
      <c r="B6" s="150">
        <v>1512.05</v>
      </c>
      <c r="C6" s="150">
        <v>1612.76</v>
      </c>
      <c r="D6" s="150">
        <v>1617.05</v>
      </c>
      <c r="E6" s="150">
        <v>1788.43</v>
      </c>
      <c r="F6" s="150">
        <v>2037.61</v>
      </c>
      <c r="G6" s="150">
        <v>2293.1799999999998</v>
      </c>
    </row>
    <row r="7" spans="1:7">
      <c r="A7" s="276" t="s">
        <v>261</v>
      </c>
      <c r="B7" s="149">
        <v>5.23</v>
      </c>
      <c r="C7" s="149">
        <v>4</v>
      </c>
      <c r="D7" s="149">
        <v>11.11</v>
      </c>
      <c r="E7" s="149">
        <v>4.0199999999999996</v>
      </c>
      <c r="F7" s="149">
        <v>4.54</v>
      </c>
      <c r="G7" s="149">
        <v>8.15</v>
      </c>
    </row>
    <row r="8" spans="1:7">
      <c r="A8" s="276" t="s">
        <v>262</v>
      </c>
      <c r="B8" s="150">
        <v>22.51</v>
      </c>
      <c r="C8" s="150">
        <v>21.97</v>
      </c>
      <c r="D8" s="150">
        <v>36.56</v>
      </c>
      <c r="E8" s="150">
        <v>86</v>
      </c>
      <c r="F8" s="150">
        <v>50.37</v>
      </c>
      <c r="G8" s="150">
        <v>53.7</v>
      </c>
    </row>
    <row r="9" spans="1:7">
      <c r="A9" s="276" t="s">
        <v>263</v>
      </c>
      <c r="B9" s="149"/>
      <c r="C9" s="149"/>
      <c r="D9" s="149"/>
      <c r="E9" s="149"/>
      <c r="F9" s="149"/>
      <c r="G9" s="149"/>
    </row>
    <row r="10" spans="1:7">
      <c r="A10" s="276" t="s">
        <v>264</v>
      </c>
      <c r="B10" s="150"/>
      <c r="C10" s="150"/>
      <c r="D10" s="150"/>
      <c r="E10" s="150"/>
      <c r="F10" s="150"/>
      <c r="G10" s="150"/>
    </row>
    <row r="11" spans="1:7">
      <c r="A11" s="276" t="s">
        <v>265</v>
      </c>
      <c r="B11" s="149"/>
      <c r="C11" s="149"/>
      <c r="D11" s="149"/>
      <c r="E11" s="149"/>
      <c r="F11" s="149"/>
      <c r="G11" s="149"/>
    </row>
    <row r="12" spans="1:7">
      <c r="A12" s="276" t="s">
        <v>266</v>
      </c>
      <c r="B12" s="150">
        <v>1539.79</v>
      </c>
      <c r="C12" s="150">
        <v>1638.72</v>
      </c>
      <c r="D12" s="150">
        <v>1664.72</v>
      </c>
      <c r="E12" s="150">
        <v>1878.45</v>
      </c>
      <c r="F12" s="150">
        <v>2092.5300000000002</v>
      </c>
      <c r="G12" s="150">
        <v>2355.04</v>
      </c>
    </row>
    <row r="13" spans="1:7">
      <c r="A13" s="276" t="s">
        <v>267</v>
      </c>
      <c r="B13" s="149">
        <v>910.24</v>
      </c>
      <c r="C13" s="149">
        <v>888.5</v>
      </c>
      <c r="D13" s="149">
        <v>804.23</v>
      </c>
      <c r="E13" s="149">
        <v>936.16</v>
      </c>
      <c r="F13" s="149">
        <v>1037.3</v>
      </c>
      <c r="G13" s="149">
        <v>1242.5999999999999</v>
      </c>
    </row>
    <row r="14" spans="1:7">
      <c r="A14" s="276" t="s">
        <v>268</v>
      </c>
      <c r="B14" s="150">
        <v>300.99</v>
      </c>
      <c r="C14" s="150">
        <v>326.31</v>
      </c>
      <c r="D14" s="150">
        <v>323.64</v>
      </c>
      <c r="E14" s="150">
        <v>366.2</v>
      </c>
      <c r="F14" s="150">
        <v>461.61</v>
      </c>
      <c r="G14" s="150">
        <v>563.67999999999995</v>
      </c>
    </row>
    <row r="15" spans="1:7">
      <c r="A15" s="276" t="s">
        <v>269</v>
      </c>
      <c r="B15" s="149">
        <v>148.04</v>
      </c>
      <c r="C15" s="149">
        <v>158.31</v>
      </c>
      <c r="D15" s="149">
        <v>156.06</v>
      </c>
      <c r="E15" s="149">
        <v>159.49</v>
      </c>
      <c r="F15" s="149">
        <v>165.35</v>
      </c>
      <c r="G15" s="149">
        <v>162.34</v>
      </c>
    </row>
    <row r="16" spans="1:7">
      <c r="A16" s="276" t="s">
        <v>270</v>
      </c>
      <c r="B16" s="150">
        <v>130.69999999999999</v>
      </c>
      <c r="C16" s="150">
        <v>138.22</v>
      </c>
      <c r="D16" s="150">
        <v>191.71</v>
      </c>
      <c r="E16" s="150">
        <v>167.82</v>
      </c>
      <c r="F16" s="150">
        <v>208.21</v>
      </c>
      <c r="G16" s="150">
        <v>263.14999999999998</v>
      </c>
    </row>
    <row r="17" spans="1:7">
      <c r="A17" s="276" t="s">
        <v>271</v>
      </c>
      <c r="B17" s="149"/>
      <c r="C17" s="149"/>
      <c r="D17" s="149"/>
      <c r="E17" s="149"/>
      <c r="F17" s="149"/>
      <c r="G17" s="149"/>
    </row>
    <row r="18" spans="1:7">
      <c r="A18" s="276" t="s">
        <v>272</v>
      </c>
      <c r="B18" s="150"/>
      <c r="C18" s="150"/>
      <c r="D18" s="150"/>
      <c r="E18" s="150"/>
      <c r="F18" s="150"/>
      <c r="G18" s="150"/>
    </row>
    <row r="19" spans="1:7">
      <c r="A19" s="276" t="s">
        <v>273</v>
      </c>
      <c r="B19" s="149"/>
      <c r="C19" s="149"/>
      <c r="D19" s="149"/>
      <c r="E19" s="149"/>
      <c r="F19" s="149"/>
      <c r="G19" s="149"/>
    </row>
    <row r="20" spans="1:7">
      <c r="A20" s="276" t="s">
        <v>274</v>
      </c>
      <c r="B20" s="150">
        <v>1489.97</v>
      </c>
      <c r="C20" s="150">
        <v>1511.34</v>
      </c>
      <c r="D20" s="150">
        <v>1475.64</v>
      </c>
      <c r="E20" s="150">
        <v>1629.67</v>
      </c>
      <c r="F20" s="150">
        <v>1872.46</v>
      </c>
      <c r="G20" s="150">
        <v>2231.77</v>
      </c>
    </row>
    <row r="21" spans="1:7">
      <c r="A21" s="276" t="s">
        <v>275</v>
      </c>
      <c r="B21" s="149"/>
      <c r="C21" s="149"/>
      <c r="D21" s="149"/>
      <c r="E21" s="149"/>
      <c r="F21" s="149"/>
      <c r="G21" s="149"/>
    </row>
    <row r="22" spans="1:7">
      <c r="A22" s="276" t="s">
        <v>276</v>
      </c>
      <c r="B22" s="150">
        <v>49.82</v>
      </c>
      <c r="C22" s="150">
        <v>127.38</v>
      </c>
      <c r="D22" s="150">
        <v>189.08</v>
      </c>
      <c r="E22" s="150">
        <v>248.78</v>
      </c>
      <c r="F22" s="150">
        <v>220.06</v>
      </c>
      <c r="G22" s="150">
        <v>123.26</v>
      </c>
    </row>
    <row r="23" spans="1:7">
      <c r="A23" s="276" t="s">
        <v>277</v>
      </c>
      <c r="B23" s="149"/>
      <c r="C23" s="149"/>
      <c r="D23" s="149"/>
      <c r="E23" s="149"/>
      <c r="F23" s="149"/>
      <c r="G23" s="149"/>
    </row>
    <row r="24" spans="1:7">
      <c r="A24" s="276" t="s">
        <v>278</v>
      </c>
      <c r="B24" s="150">
        <v>50</v>
      </c>
      <c r="C24" s="150"/>
      <c r="D24" s="150">
        <v>6.13</v>
      </c>
      <c r="E24" s="150">
        <v>0.3</v>
      </c>
      <c r="F24" s="150">
        <v>231.5</v>
      </c>
      <c r="G24" s="150">
        <v>2221.91</v>
      </c>
    </row>
    <row r="25" spans="1:7">
      <c r="A25" s="276" t="s">
        <v>279</v>
      </c>
      <c r="B25" s="149">
        <v>3.17</v>
      </c>
      <c r="C25" s="149">
        <v>8.77</v>
      </c>
      <c r="D25" s="149">
        <v>10.14</v>
      </c>
      <c r="E25" s="149">
        <v>3.85</v>
      </c>
      <c r="F25" s="149">
        <v>7.45</v>
      </c>
      <c r="G25" s="149">
        <v>38.36</v>
      </c>
    </row>
    <row r="26" spans="1:7">
      <c r="A26" s="276" t="s">
        <v>280</v>
      </c>
      <c r="B26" s="150">
        <v>23.96</v>
      </c>
      <c r="C26" s="150">
        <v>0.2</v>
      </c>
      <c r="D26" s="150">
        <v>0.15</v>
      </c>
      <c r="E26" s="150">
        <v>0.13</v>
      </c>
      <c r="F26" s="150">
        <v>130.41</v>
      </c>
      <c r="G26" s="150">
        <v>1.34</v>
      </c>
    </row>
    <row r="27" spans="1:7">
      <c r="A27" s="276" t="s">
        <v>281</v>
      </c>
      <c r="B27" s="149"/>
      <c r="C27" s="149"/>
      <c r="D27" s="149"/>
      <c r="E27" s="149"/>
      <c r="F27" s="149"/>
      <c r="G27" s="149"/>
    </row>
    <row r="28" spans="1:7">
      <c r="A28" s="276" t="s">
        <v>282</v>
      </c>
      <c r="B28" s="150"/>
      <c r="C28" s="150"/>
      <c r="D28" s="150">
        <v>0.81</v>
      </c>
      <c r="E28" s="150">
        <v>17.55</v>
      </c>
      <c r="F28" s="150">
        <v>5.67</v>
      </c>
      <c r="G28" s="150">
        <v>0.27</v>
      </c>
    </row>
    <row r="29" spans="1:7">
      <c r="A29" s="276" t="s">
        <v>283</v>
      </c>
      <c r="B29" s="149"/>
      <c r="C29" s="149"/>
      <c r="D29" s="149"/>
      <c r="E29" s="149"/>
      <c r="F29" s="149"/>
      <c r="G29" s="149"/>
    </row>
    <row r="30" spans="1:7">
      <c r="A30" s="276" t="s">
        <v>284</v>
      </c>
      <c r="B30" s="150"/>
      <c r="C30" s="150"/>
      <c r="D30" s="150"/>
      <c r="E30" s="150"/>
      <c r="F30" s="150"/>
      <c r="G30" s="150"/>
    </row>
    <row r="31" spans="1:7">
      <c r="A31" s="276" t="s">
        <v>285</v>
      </c>
      <c r="B31" s="149">
        <v>77.13</v>
      </c>
      <c r="C31" s="149">
        <v>8.9600000000000009</v>
      </c>
      <c r="D31" s="149">
        <v>17.23</v>
      </c>
      <c r="E31" s="149">
        <v>21.83</v>
      </c>
      <c r="F31" s="149">
        <v>375.02</v>
      </c>
      <c r="G31" s="149">
        <v>2261.88</v>
      </c>
    </row>
    <row r="32" spans="1:7">
      <c r="A32" s="276" t="s">
        <v>286</v>
      </c>
      <c r="B32" s="150">
        <v>164.47</v>
      </c>
      <c r="C32" s="150">
        <v>70.59</v>
      </c>
      <c r="D32" s="150">
        <v>35.729999999999997</v>
      </c>
      <c r="E32" s="150">
        <v>149.55000000000001</v>
      </c>
      <c r="F32" s="150">
        <v>240.69</v>
      </c>
      <c r="G32" s="150">
        <v>328.24</v>
      </c>
    </row>
    <row r="33" spans="1:7">
      <c r="A33" s="276" t="s">
        <v>287</v>
      </c>
      <c r="B33" s="149">
        <v>150</v>
      </c>
      <c r="C33" s="149">
        <v>0</v>
      </c>
      <c r="D33" s="149">
        <v>29.1</v>
      </c>
      <c r="E33" s="149">
        <v>107</v>
      </c>
      <c r="F33" s="149">
        <v>1051.8</v>
      </c>
      <c r="G33" s="149">
        <v>2094.6999999999998</v>
      </c>
    </row>
    <row r="34" spans="1:7">
      <c r="A34" s="276" t="s">
        <v>288</v>
      </c>
      <c r="B34" s="150">
        <v>1.41</v>
      </c>
      <c r="C34" s="150">
        <v>0</v>
      </c>
      <c r="D34" s="150"/>
      <c r="E34" s="150">
        <v>160.72999999999999</v>
      </c>
      <c r="F34" s="150"/>
      <c r="G34" s="150"/>
    </row>
    <row r="35" spans="1:7">
      <c r="A35" s="276" t="s">
        <v>289</v>
      </c>
      <c r="B35" s="149"/>
      <c r="C35" s="149"/>
      <c r="D35" s="149">
        <v>0.02</v>
      </c>
      <c r="E35" s="149">
        <v>30</v>
      </c>
      <c r="F35" s="149">
        <v>10</v>
      </c>
      <c r="G35" s="149"/>
    </row>
    <row r="36" spans="1:7">
      <c r="A36" s="276" t="s">
        <v>290</v>
      </c>
      <c r="B36" s="150"/>
      <c r="C36" s="150"/>
      <c r="D36" s="150"/>
      <c r="E36" s="150"/>
      <c r="F36" s="150"/>
      <c r="G36" s="150"/>
    </row>
    <row r="37" spans="1:7">
      <c r="A37" s="276" t="s">
        <v>291</v>
      </c>
      <c r="B37" s="149"/>
      <c r="C37" s="149"/>
      <c r="D37" s="149"/>
      <c r="E37" s="149"/>
      <c r="F37" s="149"/>
      <c r="G37" s="149"/>
    </row>
    <row r="38" spans="1:7">
      <c r="A38" s="276" t="s">
        <v>292</v>
      </c>
      <c r="B38" s="150">
        <v>315.87</v>
      </c>
      <c r="C38" s="150">
        <v>70.59</v>
      </c>
      <c r="D38" s="150">
        <v>64.849999999999994</v>
      </c>
      <c r="E38" s="150">
        <v>447.28</v>
      </c>
      <c r="F38" s="150">
        <v>1302.49</v>
      </c>
      <c r="G38" s="150">
        <v>2422.94</v>
      </c>
    </row>
    <row r="39" spans="1:7">
      <c r="A39" s="276" t="s">
        <v>293</v>
      </c>
      <c r="B39" s="149"/>
      <c r="C39" s="149"/>
      <c r="D39" s="149"/>
      <c r="E39" s="149"/>
      <c r="F39" s="149"/>
      <c r="G39" s="149"/>
    </row>
    <row r="40" spans="1:7">
      <c r="A40" s="276" t="s">
        <v>294</v>
      </c>
      <c r="B40" s="150">
        <v>-238.74</v>
      </c>
      <c r="C40" s="150">
        <v>-61.63</v>
      </c>
      <c r="D40" s="150">
        <v>-47.62</v>
      </c>
      <c r="E40" s="150">
        <v>-425.46</v>
      </c>
      <c r="F40" s="150">
        <v>-927.46</v>
      </c>
      <c r="G40" s="150">
        <v>-161.06</v>
      </c>
    </row>
    <row r="41" spans="1:7">
      <c r="A41" s="276" t="s">
        <v>295</v>
      </c>
      <c r="B41" s="149"/>
      <c r="C41" s="149"/>
      <c r="D41" s="149"/>
      <c r="E41" s="149"/>
      <c r="F41" s="149"/>
      <c r="G41" s="149"/>
    </row>
    <row r="42" spans="1:7">
      <c r="A42" s="276" t="s">
        <v>296</v>
      </c>
      <c r="B42" s="150"/>
      <c r="C42" s="150">
        <v>1</v>
      </c>
      <c r="D42" s="150">
        <v>1</v>
      </c>
      <c r="E42" s="150">
        <v>7.87</v>
      </c>
      <c r="F42" s="150">
        <v>1092.48</v>
      </c>
      <c r="G42" s="150">
        <v>0.98</v>
      </c>
    </row>
    <row r="43" spans="1:7">
      <c r="A43" s="276" t="s">
        <v>297</v>
      </c>
      <c r="B43" s="149"/>
      <c r="C43" s="149">
        <v>1</v>
      </c>
      <c r="D43" s="149">
        <v>1</v>
      </c>
      <c r="E43" s="149">
        <v>7.87</v>
      </c>
      <c r="F43" s="149">
        <v>26.14</v>
      </c>
      <c r="G43" s="149">
        <v>0.98</v>
      </c>
    </row>
    <row r="44" spans="1:7">
      <c r="A44" s="276" t="s">
        <v>298</v>
      </c>
      <c r="B44" s="150">
        <v>128</v>
      </c>
      <c r="C44" s="150">
        <v>0</v>
      </c>
      <c r="D44" s="150">
        <v>260</v>
      </c>
      <c r="E44" s="150">
        <v>346.2</v>
      </c>
      <c r="F44" s="150">
        <v>459.72</v>
      </c>
      <c r="G44" s="150">
        <v>259.3</v>
      </c>
    </row>
    <row r="45" spans="1:7">
      <c r="A45" s="276" t="s">
        <v>299</v>
      </c>
      <c r="B45" s="149">
        <v>4.03</v>
      </c>
      <c r="C45" s="149">
        <v>0</v>
      </c>
      <c r="D45" s="149"/>
      <c r="E45" s="149"/>
      <c r="F45" s="149"/>
      <c r="G45" s="149"/>
    </row>
    <row r="46" spans="1:7">
      <c r="A46" s="276" t="s">
        <v>300</v>
      </c>
      <c r="B46" s="150"/>
      <c r="C46" s="150"/>
      <c r="D46" s="150"/>
      <c r="E46" s="150"/>
      <c r="F46" s="150"/>
      <c r="G46" s="150"/>
    </row>
    <row r="47" spans="1:7">
      <c r="A47" s="276" t="s">
        <v>301</v>
      </c>
      <c r="B47" s="149"/>
      <c r="C47" s="149"/>
      <c r="D47" s="149"/>
      <c r="E47" s="149"/>
      <c r="F47" s="149"/>
      <c r="G47" s="149"/>
    </row>
    <row r="48" spans="1:7">
      <c r="A48" s="276" t="s">
        <v>302</v>
      </c>
      <c r="B48" s="150"/>
      <c r="C48" s="150"/>
      <c r="D48" s="150"/>
      <c r="E48" s="150"/>
      <c r="F48" s="150"/>
      <c r="G48" s="150"/>
    </row>
    <row r="49" spans="1:7">
      <c r="A49" s="276" t="s">
        <v>303</v>
      </c>
      <c r="B49" s="149">
        <v>132.03</v>
      </c>
      <c r="C49" s="149">
        <v>1</v>
      </c>
      <c r="D49" s="149">
        <v>261</v>
      </c>
      <c r="E49" s="149">
        <v>354.07</v>
      </c>
      <c r="F49" s="149">
        <v>1552.2</v>
      </c>
      <c r="G49" s="149">
        <v>260.27999999999997</v>
      </c>
    </row>
    <row r="50" spans="1:7">
      <c r="A50" s="276" t="s">
        <v>304</v>
      </c>
      <c r="B50" s="150"/>
      <c r="C50" s="150"/>
      <c r="D50" s="150">
        <v>198</v>
      </c>
      <c r="E50" s="150">
        <v>110</v>
      </c>
      <c r="F50" s="150">
        <v>533.79</v>
      </c>
      <c r="G50" s="150">
        <v>289.60000000000002</v>
      </c>
    </row>
    <row r="51" spans="1:7">
      <c r="A51" s="276" t="s">
        <v>305</v>
      </c>
      <c r="B51" s="149">
        <v>64.459999999999994</v>
      </c>
      <c r="C51" s="149">
        <v>70.930000000000007</v>
      </c>
      <c r="D51" s="149">
        <v>144.07</v>
      </c>
      <c r="E51" s="149">
        <v>76.44</v>
      </c>
      <c r="F51" s="149">
        <v>82.6</v>
      </c>
      <c r="G51" s="149">
        <v>94.94</v>
      </c>
    </row>
    <row r="52" spans="1:7">
      <c r="A52" s="276" t="s">
        <v>306</v>
      </c>
      <c r="B52" s="150"/>
      <c r="C52" s="150">
        <v>0.13</v>
      </c>
      <c r="D52" s="150"/>
      <c r="E52" s="150"/>
      <c r="F52" s="150">
        <v>1.35</v>
      </c>
      <c r="G52" s="150">
        <v>1.35</v>
      </c>
    </row>
    <row r="53" spans="1:7">
      <c r="A53" s="276" t="s">
        <v>307</v>
      </c>
      <c r="B53" s="149"/>
      <c r="C53" s="149"/>
      <c r="D53" s="149"/>
      <c r="E53" s="149">
        <v>5.25</v>
      </c>
      <c r="F53" s="149">
        <v>5.14</v>
      </c>
      <c r="G53" s="149">
        <v>0.27</v>
      </c>
    </row>
    <row r="54" spans="1:7">
      <c r="A54" s="276" t="s">
        <v>308</v>
      </c>
      <c r="B54" s="150"/>
      <c r="C54" s="150"/>
      <c r="D54" s="150"/>
      <c r="E54" s="150"/>
      <c r="F54" s="150"/>
      <c r="G54" s="150"/>
    </row>
    <row r="55" spans="1:7">
      <c r="A55" s="276" t="s">
        <v>309</v>
      </c>
      <c r="B55" s="149"/>
      <c r="C55" s="149"/>
      <c r="D55" s="149"/>
      <c r="E55" s="149"/>
      <c r="F55" s="149"/>
      <c r="G55" s="149"/>
    </row>
    <row r="56" spans="1:7">
      <c r="A56" s="276" t="s">
        <v>310</v>
      </c>
      <c r="B56" s="150">
        <v>64.459999999999994</v>
      </c>
      <c r="C56" s="150">
        <v>70.930000000000007</v>
      </c>
      <c r="D56" s="150">
        <v>342.07</v>
      </c>
      <c r="E56" s="150">
        <v>191.68</v>
      </c>
      <c r="F56" s="150">
        <v>621.53</v>
      </c>
      <c r="G56" s="150">
        <v>384.81</v>
      </c>
    </row>
    <row r="57" spans="1:7">
      <c r="A57" s="276" t="s">
        <v>311</v>
      </c>
      <c r="B57" s="149"/>
      <c r="C57" s="149"/>
      <c r="D57" s="149"/>
      <c r="E57" s="149"/>
      <c r="F57" s="149"/>
      <c r="G57" s="149"/>
    </row>
    <row r="58" spans="1:7">
      <c r="A58" s="276" t="s">
        <v>312</v>
      </c>
      <c r="B58" s="150">
        <v>67.569999999999993</v>
      </c>
      <c r="C58" s="150">
        <v>-69.930000000000007</v>
      </c>
      <c r="D58" s="150">
        <v>-81.069999999999993</v>
      </c>
      <c r="E58" s="150">
        <v>162.38999999999999</v>
      </c>
      <c r="F58" s="150">
        <v>930.68</v>
      </c>
      <c r="G58" s="150">
        <v>-124.53</v>
      </c>
    </row>
    <row r="59" spans="1:7">
      <c r="A59" s="276" t="s">
        <v>313</v>
      </c>
      <c r="B59" s="149">
        <v>-1.8</v>
      </c>
      <c r="C59" s="149">
        <v>-0.97</v>
      </c>
      <c r="D59" s="149">
        <v>2.11</v>
      </c>
      <c r="E59" s="149">
        <v>1.93</v>
      </c>
      <c r="F59" s="149">
        <v>5.25</v>
      </c>
      <c r="G59" s="149">
        <v>-6.4</v>
      </c>
    </row>
    <row r="60" spans="1:7">
      <c r="A60" s="276" t="s">
        <v>314</v>
      </c>
      <c r="B60" s="150"/>
      <c r="C60" s="150"/>
      <c r="D60" s="150"/>
      <c r="E60" s="150"/>
      <c r="F60" s="150"/>
      <c r="G60" s="150"/>
    </row>
    <row r="61" spans="1:7">
      <c r="A61" s="276" t="s">
        <v>315</v>
      </c>
      <c r="B61" s="149"/>
      <c r="C61" s="149"/>
      <c r="D61" s="149"/>
      <c r="E61" s="149"/>
      <c r="F61" s="149"/>
      <c r="G61" s="149"/>
    </row>
    <row r="62" spans="1:7">
      <c r="A62" s="276" t="s">
        <v>316</v>
      </c>
      <c r="B62" s="150">
        <v>-123.15</v>
      </c>
      <c r="C62" s="150">
        <v>-5.15</v>
      </c>
      <c r="D62" s="150">
        <v>62.51</v>
      </c>
      <c r="E62" s="150">
        <v>-12.36</v>
      </c>
      <c r="F62" s="150">
        <v>228.52</v>
      </c>
      <c r="G62" s="150">
        <v>-168.73</v>
      </c>
    </row>
    <row r="63" spans="1:7">
      <c r="A63" s="276" t="s">
        <v>317</v>
      </c>
      <c r="B63" s="149">
        <v>664.68</v>
      </c>
      <c r="C63" s="149">
        <v>541.53</v>
      </c>
      <c r="D63" s="149">
        <v>536.37</v>
      </c>
      <c r="E63" s="149">
        <v>598.88</v>
      </c>
      <c r="F63" s="149">
        <v>586.53</v>
      </c>
      <c r="G63" s="149">
        <v>815.05</v>
      </c>
    </row>
    <row r="64" spans="1:7">
      <c r="A64" s="276" t="s">
        <v>318</v>
      </c>
      <c r="B64" s="150">
        <v>541.53</v>
      </c>
      <c r="C64" s="150">
        <v>536.37</v>
      </c>
      <c r="D64" s="150">
        <v>598.88</v>
      </c>
      <c r="E64" s="150">
        <v>586.53</v>
      </c>
      <c r="F64" s="150">
        <v>815.05</v>
      </c>
      <c r="G64" s="150">
        <v>646.32000000000005</v>
      </c>
    </row>
    <row r="65" spans="1:7">
      <c r="A65" s="276" t="s">
        <v>319</v>
      </c>
      <c r="B65" s="149"/>
      <c r="C65" s="149"/>
      <c r="D65" s="149"/>
      <c r="E65" s="149"/>
      <c r="F65" s="149"/>
      <c r="G65" s="149"/>
    </row>
    <row r="66" spans="1:7">
      <c r="A66" s="276" t="s">
        <v>320</v>
      </c>
      <c r="B66" s="150">
        <v>197.2</v>
      </c>
      <c r="C66" s="150">
        <v>141.52000000000001</v>
      </c>
      <c r="D66" s="150">
        <v>146.72999999999999</v>
      </c>
      <c r="E66" s="150">
        <v>151.16999999999999</v>
      </c>
      <c r="F66" s="150">
        <v>160.07</v>
      </c>
      <c r="G66" s="150">
        <v>174.06</v>
      </c>
    </row>
    <row r="67" spans="1:7">
      <c r="A67" s="276" t="s">
        <v>321</v>
      </c>
      <c r="B67" s="149">
        <v>4.76</v>
      </c>
      <c r="C67" s="149">
        <v>3.93</v>
      </c>
      <c r="D67" s="149">
        <v>2.81</v>
      </c>
      <c r="E67" s="149">
        <v>8.4700000000000006</v>
      </c>
      <c r="F67" s="149">
        <v>29.27</v>
      </c>
      <c r="G67" s="149">
        <v>20.6</v>
      </c>
    </row>
    <row r="68" spans="1:7">
      <c r="A68" s="276" t="s">
        <v>322</v>
      </c>
      <c r="B68" s="150"/>
      <c r="C68" s="150"/>
      <c r="D68" s="150"/>
      <c r="E68" s="150"/>
      <c r="F68" s="150"/>
      <c r="G68" s="150"/>
    </row>
    <row r="69" spans="1:7">
      <c r="A69" s="276" t="s">
        <v>323</v>
      </c>
      <c r="B69" s="149">
        <v>32.83</v>
      </c>
      <c r="C69" s="149">
        <v>44.8</v>
      </c>
      <c r="D69" s="149">
        <v>47.26</v>
      </c>
      <c r="E69" s="149">
        <v>49.81</v>
      </c>
      <c r="F69" s="149">
        <v>54.43</v>
      </c>
      <c r="G69" s="149">
        <v>57.16</v>
      </c>
    </row>
    <row r="70" spans="1:7">
      <c r="A70" s="276" t="s">
        <v>324</v>
      </c>
      <c r="B70" s="150">
        <v>2.31</v>
      </c>
      <c r="C70" s="150">
        <v>2.2200000000000002</v>
      </c>
      <c r="D70" s="150">
        <v>2.2200000000000002</v>
      </c>
      <c r="E70" s="150">
        <v>5.48</v>
      </c>
      <c r="F70" s="150">
        <v>7.2</v>
      </c>
      <c r="G70" s="150">
        <v>9.3699999999999992</v>
      </c>
    </row>
    <row r="71" spans="1:7">
      <c r="A71" s="276" t="s">
        <v>325</v>
      </c>
      <c r="B71" s="149"/>
      <c r="C71" s="149"/>
      <c r="D71" s="149"/>
      <c r="E71" s="149"/>
      <c r="F71" s="149"/>
      <c r="G71" s="149"/>
    </row>
    <row r="72" spans="1:7">
      <c r="A72" s="276" t="s">
        <v>326</v>
      </c>
      <c r="B72" s="150">
        <v>0.42</v>
      </c>
      <c r="C72" s="150">
        <v>0.16</v>
      </c>
      <c r="D72" s="150">
        <v>0.37</v>
      </c>
      <c r="E72" s="150">
        <v>1</v>
      </c>
      <c r="F72" s="150">
        <v>2.79</v>
      </c>
      <c r="G72" s="150">
        <v>1.6</v>
      </c>
    </row>
    <row r="73" spans="1:7">
      <c r="A73" s="276" t="s">
        <v>327</v>
      </c>
      <c r="B73" s="149"/>
      <c r="C73" s="149"/>
      <c r="D73" s="149"/>
      <c r="E73" s="149"/>
      <c r="F73" s="149"/>
      <c r="G73" s="149"/>
    </row>
    <row r="74" spans="1:7">
      <c r="A74" s="276" t="s">
        <v>328</v>
      </c>
      <c r="B74" s="150"/>
      <c r="C74" s="150"/>
      <c r="D74" s="150"/>
      <c r="E74" s="150"/>
      <c r="F74" s="150"/>
      <c r="G74" s="150"/>
    </row>
    <row r="75" spans="1:7">
      <c r="A75" s="276" t="s">
        <v>329</v>
      </c>
      <c r="B75" s="149">
        <v>-12.15</v>
      </c>
      <c r="C75" s="149">
        <v>0.28999999999999998</v>
      </c>
      <c r="D75" s="149">
        <v>0.32</v>
      </c>
      <c r="E75" s="149">
        <v>0.11</v>
      </c>
      <c r="F75" s="149">
        <v>-130.30000000000001</v>
      </c>
      <c r="G75" s="149">
        <v>0.52</v>
      </c>
    </row>
    <row r="76" spans="1:7">
      <c r="A76" s="276" t="s">
        <v>330</v>
      </c>
      <c r="B76" s="150">
        <v>0</v>
      </c>
      <c r="C76" s="150">
        <v>0</v>
      </c>
      <c r="D76" s="150"/>
      <c r="E76" s="150">
        <v>0</v>
      </c>
      <c r="F76" s="150">
        <v>0.06</v>
      </c>
      <c r="G76" s="150">
        <v>0.46</v>
      </c>
    </row>
    <row r="77" spans="1:7">
      <c r="A77" s="276" t="s">
        <v>331</v>
      </c>
      <c r="B77" s="149"/>
      <c r="C77" s="149">
        <v>0</v>
      </c>
      <c r="D77" s="149"/>
      <c r="E77" s="149">
        <v>0</v>
      </c>
      <c r="F77" s="149"/>
      <c r="G77" s="149">
        <v>0</v>
      </c>
    </row>
    <row r="78" spans="1:7">
      <c r="A78" s="276" t="s">
        <v>332</v>
      </c>
      <c r="B78" s="150">
        <v>3.23</v>
      </c>
      <c r="C78" s="150">
        <v>7.3</v>
      </c>
      <c r="D78" s="150">
        <v>7.06</v>
      </c>
      <c r="E78" s="150">
        <v>11.06</v>
      </c>
      <c r="F78" s="150">
        <v>11.34</v>
      </c>
      <c r="G78" s="150">
        <v>20.350000000000001</v>
      </c>
    </row>
    <row r="79" spans="1:7">
      <c r="A79" s="276" t="s">
        <v>333</v>
      </c>
      <c r="B79" s="149">
        <v>-5.0599999999999996</v>
      </c>
      <c r="C79" s="149">
        <v>-12.82</v>
      </c>
      <c r="D79" s="149">
        <v>-12.8</v>
      </c>
      <c r="E79" s="149">
        <v>-7.94</v>
      </c>
      <c r="F79" s="149">
        <v>-10.96</v>
      </c>
      <c r="G79" s="149">
        <v>-38.479999999999997</v>
      </c>
    </row>
    <row r="80" spans="1:7">
      <c r="A80" s="276" t="s">
        <v>334</v>
      </c>
      <c r="B80" s="150">
        <v>-0.76</v>
      </c>
      <c r="C80" s="150">
        <v>-0.99</v>
      </c>
      <c r="D80" s="150">
        <v>1.87</v>
      </c>
      <c r="E80" s="150">
        <v>-9.7899999999999991</v>
      </c>
      <c r="F80" s="150">
        <v>-25.87</v>
      </c>
      <c r="G80" s="150">
        <v>-3.93</v>
      </c>
    </row>
    <row r="81" spans="1:7">
      <c r="A81" s="276" t="s">
        <v>335</v>
      </c>
      <c r="B81" s="149"/>
      <c r="C81" s="149">
        <v>0</v>
      </c>
      <c r="D81" s="149"/>
      <c r="E81" s="149">
        <v>-1.63</v>
      </c>
      <c r="F81" s="149">
        <v>-0.92</v>
      </c>
      <c r="G81" s="149">
        <v>-1.73</v>
      </c>
    </row>
    <row r="82" spans="1:7">
      <c r="A82" s="276" t="s">
        <v>336</v>
      </c>
      <c r="B82" s="150">
        <v>-115.96</v>
      </c>
      <c r="C82" s="150">
        <v>-58.22</v>
      </c>
      <c r="D82" s="150">
        <v>35.74</v>
      </c>
      <c r="E82" s="150">
        <v>-50.37</v>
      </c>
      <c r="F82" s="150">
        <v>-41.96</v>
      </c>
      <c r="G82" s="150">
        <v>-53.71</v>
      </c>
    </row>
    <row r="83" spans="1:7">
      <c r="A83" s="276" t="s">
        <v>337</v>
      </c>
      <c r="B83" s="149">
        <v>-41.7</v>
      </c>
      <c r="C83" s="149">
        <v>-4.91</v>
      </c>
      <c r="D83" s="149">
        <v>-49.36</v>
      </c>
      <c r="E83" s="149">
        <v>14.54</v>
      </c>
      <c r="F83" s="149">
        <v>19.47</v>
      </c>
      <c r="G83" s="149">
        <v>7.62</v>
      </c>
    </row>
    <row r="84" spans="1:7">
      <c r="A84" s="276" t="s">
        <v>338</v>
      </c>
      <c r="B84" s="150">
        <v>-13.7</v>
      </c>
      <c r="C84" s="150">
        <v>4.0999999999999996</v>
      </c>
      <c r="D84" s="150">
        <v>6.87</v>
      </c>
      <c r="E84" s="150">
        <v>76.87</v>
      </c>
      <c r="F84" s="150">
        <v>145.44</v>
      </c>
      <c r="G84" s="150">
        <v>-70.63</v>
      </c>
    </row>
    <row r="85" spans="1:7">
      <c r="A85" s="276" t="s">
        <v>339</v>
      </c>
      <c r="B85" s="149"/>
      <c r="C85" s="149"/>
      <c r="D85" s="149"/>
      <c r="E85" s="149"/>
      <c r="F85" s="149"/>
      <c r="G85" s="149"/>
    </row>
    <row r="86" spans="1:7">
      <c r="A86" s="276" t="s">
        <v>340</v>
      </c>
      <c r="B86" s="150">
        <v>-1.6</v>
      </c>
      <c r="C86" s="150">
        <v>0</v>
      </c>
      <c r="D86" s="150"/>
      <c r="E86" s="150">
        <v>0</v>
      </c>
      <c r="F86" s="150"/>
      <c r="G86" s="150">
        <v>0</v>
      </c>
    </row>
    <row r="87" spans="1:7">
      <c r="A87" s="276" t="s">
        <v>341</v>
      </c>
      <c r="B87" s="149"/>
      <c r="C87" s="149"/>
      <c r="D87" s="149"/>
      <c r="E87" s="149"/>
      <c r="F87" s="149"/>
      <c r="G87" s="149"/>
    </row>
    <row r="88" spans="1:7">
      <c r="A88" s="276" t="s">
        <v>342</v>
      </c>
      <c r="B88" s="150"/>
      <c r="C88" s="150"/>
      <c r="D88" s="150"/>
      <c r="E88" s="150"/>
      <c r="F88" s="150"/>
      <c r="G88" s="150"/>
    </row>
    <row r="89" spans="1:7">
      <c r="A89" s="276" t="s">
        <v>343</v>
      </c>
      <c r="B89" s="149">
        <v>49.82</v>
      </c>
      <c r="C89" s="149">
        <v>127.38</v>
      </c>
      <c r="D89" s="149">
        <v>189.08</v>
      </c>
      <c r="E89" s="149">
        <v>248.78</v>
      </c>
      <c r="F89" s="149">
        <v>220.06</v>
      </c>
      <c r="G89" s="149">
        <v>123.26</v>
      </c>
    </row>
    <row r="90" spans="1:7">
      <c r="A90" s="276" t="s">
        <v>344</v>
      </c>
      <c r="B90" s="150"/>
      <c r="C90" s="150"/>
      <c r="D90" s="150"/>
      <c r="E90" s="150"/>
      <c r="F90" s="150"/>
      <c r="G90" s="150">
        <v>0</v>
      </c>
    </row>
    <row r="91" spans="1:7">
      <c r="A91" s="276" t="s">
        <v>345</v>
      </c>
      <c r="B91" s="149"/>
      <c r="C91" s="149"/>
      <c r="D91" s="149"/>
      <c r="E91" s="149"/>
      <c r="F91" s="149"/>
      <c r="G91" s="149">
        <v>0</v>
      </c>
    </row>
    <row r="92" spans="1:7">
      <c r="A92" s="276" t="s">
        <v>346</v>
      </c>
      <c r="B92" s="150"/>
      <c r="C92" s="150"/>
      <c r="D92" s="150"/>
      <c r="E92" s="150"/>
      <c r="F92" s="150"/>
      <c r="G92" s="150">
        <v>0</v>
      </c>
    </row>
    <row r="93" spans="1:7">
      <c r="A93" s="276" t="s">
        <v>347</v>
      </c>
      <c r="B93" s="149">
        <v>541.53</v>
      </c>
      <c r="C93" s="149">
        <v>536.37</v>
      </c>
      <c r="D93" s="149">
        <v>598.88</v>
      </c>
      <c r="E93" s="149">
        <v>586.53</v>
      </c>
      <c r="F93" s="149">
        <v>815.05</v>
      </c>
      <c r="G93" s="149">
        <v>646.32000000000005</v>
      </c>
    </row>
    <row r="94" spans="1:7">
      <c r="A94" s="276" t="s">
        <v>348</v>
      </c>
      <c r="B94" s="150">
        <v>664.68</v>
      </c>
      <c r="C94" s="150">
        <v>541.53</v>
      </c>
      <c r="D94" s="150">
        <v>536.37</v>
      </c>
      <c r="E94" s="150">
        <v>598.88</v>
      </c>
      <c r="F94" s="150">
        <v>586.53</v>
      </c>
      <c r="G94" s="150">
        <v>815.05</v>
      </c>
    </row>
    <row r="95" spans="1:7">
      <c r="A95" s="276" t="s">
        <v>349</v>
      </c>
      <c r="B95" s="149"/>
      <c r="C95" s="149"/>
      <c r="D95" s="149"/>
      <c r="E95" s="149"/>
      <c r="F95" s="149">
        <v>0</v>
      </c>
      <c r="G95" s="149">
        <v>0</v>
      </c>
    </row>
    <row r="96" spans="1:7">
      <c r="A96" s="276" t="s">
        <v>350</v>
      </c>
      <c r="B96" s="150"/>
      <c r="C96" s="150"/>
      <c r="D96" s="150"/>
      <c r="E96" s="150"/>
      <c r="F96" s="150">
        <v>0</v>
      </c>
      <c r="G96" s="150">
        <v>0</v>
      </c>
    </row>
    <row r="97" spans="1:7">
      <c r="A97" s="276" t="s">
        <v>351</v>
      </c>
      <c r="B97" s="149"/>
      <c r="C97" s="149"/>
      <c r="D97" s="149"/>
      <c r="E97" s="149"/>
      <c r="F97" s="149"/>
      <c r="G97" s="149"/>
    </row>
    <row r="98" spans="1:7">
      <c r="A98" s="276" t="s">
        <v>352</v>
      </c>
      <c r="B98" s="150"/>
      <c r="C98" s="150"/>
      <c r="D98" s="150"/>
      <c r="E98" s="150"/>
      <c r="F98" s="150"/>
      <c r="G98" s="150"/>
    </row>
    <row r="99" spans="1:7">
      <c r="A99" s="276" t="s">
        <v>353</v>
      </c>
      <c r="B99" s="149">
        <v>-123.15</v>
      </c>
      <c r="C99" s="149">
        <v>-5.15</v>
      </c>
      <c r="D99" s="149">
        <v>62.51</v>
      </c>
      <c r="E99" s="149">
        <v>-12.36</v>
      </c>
      <c r="F99" s="149">
        <v>228.52</v>
      </c>
      <c r="G99" s="149">
        <v>-168.73</v>
      </c>
    </row>
  </sheetData>
  <phoneticPr fontId="3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9"/>
  <sheetViews>
    <sheetView workbookViewId="0">
      <pane xSplit="1" ySplit="2" topLeftCell="B3" activePane="bottomRight" state="frozen"/>
      <selection pane="topRight"/>
      <selection pane="bottomLeft"/>
      <selection pane="bottomRight" activeCell="C22" sqref="C22"/>
    </sheetView>
  </sheetViews>
  <sheetFormatPr defaultColWidth="8.875" defaultRowHeight="13.5"/>
  <cols>
    <col min="1" max="1" width="41.25" style="143" customWidth="1"/>
    <col min="2" max="12" width="11.625" style="143" customWidth="1"/>
    <col min="13" max="16384" width="8.875" style="143"/>
  </cols>
  <sheetData>
    <row r="1" spans="1:12">
      <c r="A1" s="385" t="s">
        <v>719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>
      <c r="A2" s="271"/>
      <c r="B2" s="275" t="s">
        <v>648</v>
      </c>
      <c r="C2" s="275" t="s">
        <v>130</v>
      </c>
      <c r="D2" s="275" t="s">
        <v>649</v>
      </c>
      <c r="E2" s="275" t="s">
        <v>54</v>
      </c>
      <c r="F2" s="275" t="s">
        <v>256</v>
      </c>
      <c r="G2" s="275" t="s">
        <v>257</v>
      </c>
      <c r="H2" s="275" t="s">
        <v>258</v>
      </c>
      <c r="I2" s="275" t="s">
        <v>55</v>
      </c>
      <c r="J2" s="275" t="s">
        <v>131</v>
      </c>
      <c r="K2" s="275" t="s">
        <v>132</v>
      </c>
      <c r="L2" s="275" t="s">
        <v>133</v>
      </c>
    </row>
    <row r="3" spans="1:12">
      <c r="A3" s="271" t="s">
        <v>56</v>
      </c>
      <c r="B3" s="151" t="s">
        <v>354</v>
      </c>
      <c r="C3" s="151" t="s">
        <v>355</v>
      </c>
      <c r="D3" s="151" t="s">
        <v>356</v>
      </c>
      <c r="E3" s="151" t="s">
        <v>357</v>
      </c>
      <c r="F3" s="151" t="s">
        <v>354</v>
      </c>
      <c r="G3" s="151" t="s">
        <v>355</v>
      </c>
      <c r="H3" s="151" t="s">
        <v>356</v>
      </c>
      <c r="I3" s="151" t="s">
        <v>357</v>
      </c>
      <c r="J3" s="151" t="s">
        <v>354</v>
      </c>
      <c r="K3" s="151" t="s">
        <v>355</v>
      </c>
      <c r="L3" s="151" t="s">
        <v>356</v>
      </c>
    </row>
    <row r="4" spans="1:12">
      <c r="A4" s="271" t="s">
        <v>58</v>
      </c>
      <c r="B4" s="145" t="s">
        <v>358</v>
      </c>
      <c r="C4" s="145" t="s">
        <v>358</v>
      </c>
      <c r="D4" s="145" t="s">
        <v>358</v>
      </c>
      <c r="E4" s="145" t="s">
        <v>358</v>
      </c>
      <c r="F4" s="145" t="s">
        <v>358</v>
      </c>
      <c r="G4" s="145" t="s">
        <v>358</v>
      </c>
      <c r="H4" s="145" t="s">
        <v>358</v>
      </c>
      <c r="I4" s="145" t="s">
        <v>358</v>
      </c>
      <c r="J4" s="145" t="s">
        <v>358</v>
      </c>
      <c r="K4" s="145" t="s">
        <v>358</v>
      </c>
      <c r="L4" s="145" t="s">
        <v>358</v>
      </c>
    </row>
    <row r="5" spans="1:12">
      <c r="A5" s="271" t="s">
        <v>29</v>
      </c>
      <c r="B5" s="151">
        <v>425.18</v>
      </c>
      <c r="C5" s="151">
        <v>420.48</v>
      </c>
      <c r="D5" s="151">
        <v>490.29</v>
      </c>
      <c r="E5" s="151">
        <v>454.25</v>
      </c>
      <c r="F5" s="151">
        <v>479.31</v>
      </c>
      <c r="G5" s="151">
        <v>489.44</v>
      </c>
      <c r="H5" s="151">
        <v>583.08000000000004</v>
      </c>
      <c r="I5" s="151">
        <v>422.73</v>
      </c>
      <c r="J5" s="151">
        <v>518.02</v>
      </c>
      <c r="K5" s="151">
        <v>470.82</v>
      </c>
      <c r="L5" s="151">
        <v>610.54999999999995</v>
      </c>
    </row>
    <row r="6" spans="1:12">
      <c r="A6" s="271" t="s">
        <v>60</v>
      </c>
      <c r="B6" s="145">
        <v>425.18</v>
      </c>
      <c r="C6" s="145">
        <v>420.48</v>
      </c>
      <c r="D6" s="145">
        <v>490.29</v>
      </c>
      <c r="E6" s="145">
        <v>454.25</v>
      </c>
      <c r="F6" s="145">
        <v>479.31</v>
      </c>
      <c r="G6" s="145">
        <v>489.44</v>
      </c>
      <c r="H6" s="145">
        <v>583.08000000000004</v>
      </c>
      <c r="I6" s="145">
        <v>422.73</v>
      </c>
      <c r="J6" s="145">
        <v>518.02</v>
      </c>
      <c r="K6" s="145">
        <v>470.82</v>
      </c>
      <c r="L6" s="145">
        <v>610.54999999999995</v>
      </c>
    </row>
    <row r="7" spans="1:12">
      <c r="A7" s="271" t="s">
        <v>359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>
      <c r="A8" s="271" t="s">
        <v>65</v>
      </c>
      <c r="B8" s="145">
        <v>369.97</v>
      </c>
      <c r="C8" s="145">
        <v>377.75</v>
      </c>
      <c r="D8" s="145">
        <v>441.78</v>
      </c>
      <c r="E8" s="145">
        <v>576.03</v>
      </c>
      <c r="F8" s="145">
        <v>422.74</v>
      </c>
      <c r="G8" s="145">
        <v>438.96</v>
      </c>
      <c r="H8" s="145">
        <v>534.14</v>
      </c>
      <c r="I8" s="145">
        <v>433.81</v>
      </c>
      <c r="J8" s="145">
        <v>458.55</v>
      </c>
      <c r="K8" s="145">
        <v>418.65</v>
      </c>
      <c r="L8" s="145">
        <v>562.04999999999995</v>
      </c>
    </row>
    <row r="9" spans="1:12">
      <c r="A9" s="271" t="s">
        <v>66</v>
      </c>
      <c r="B9" s="151">
        <v>425.18</v>
      </c>
      <c r="C9" s="151">
        <v>141.96</v>
      </c>
      <c r="D9" s="151">
        <v>330.3</v>
      </c>
      <c r="E9" s="151">
        <v>305.98</v>
      </c>
      <c r="F9" s="151">
        <v>318.57</v>
      </c>
      <c r="G9" s="151">
        <v>344.18</v>
      </c>
      <c r="H9" s="151">
        <v>419.4</v>
      </c>
      <c r="I9" s="151">
        <v>273.92</v>
      </c>
      <c r="J9" s="151">
        <v>345.06</v>
      </c>
      <c r="K9" s="151">
        <v>332.86</v>
      </c>
      <c r="L9" s="151">
        <v>442.19</v>
      </c>
    </row>
    <row r="10" spans="1:12">
      <c r="A10" s="271" t="s">
        <v>67</v>
      </c>
      <c r="B10" s="145">
        <v>6.82</v>
      </c>
      <c r="C10" s="145">
        <v>5.7</v>
      </c>
      <c r="D10" s="145">
        <v>7.46</v>
      </c>
      <c r="E10" s="145">
        <v>5.84</v>
      </c>
      <c r="F10" s="145">
        <v>5.62</v>
      </c>
      <c r="G10" s="145">
        <v>5.62</v>
      </c>
      <c r="H10" s="145">
        <v>5.73</v>
      </c>
      <c r="I10" s="145">
        <v>7.22</v>
      </c>
      <c r="J10" s="145">
        <v>8.64</v>
      </c>
      <c r="K10" s="145">
        <v>4.01</v>
      </c>
      <c r="L10" s="145">
        <v>4.3600000000000003</v>
      </c>
    </row>
    <row r="11" spans="1:12">
      <c r="A11" s="271" t="s">
        <v>68</v>
      </c>
      <c r="B11" s="151">
        <v>23.91</v>
      </c>
      <c r="C11" s="151">
        <v>26.87</v>
      </c>
      <c r="D11" s="151">
        <v>35.46</v>
      </c>
      <c r="E11" s="151">
        <v>57.97</v>
      </c>
      <c r="F11" s="151">
        <v>42.65</v>
      </c>
      <c r="G11" s="151">
        <v>16.89</v>
      </c>
      <c r="H11" s="151">
        <v>49.26</v>
      </c>
      <c r="I11" s="151">
        <v>54.88</v>
      </c>
      <c r="J11" s="151">
        <v>43.61</v>
      </c>
      <c r="K11" s="151">
        <v>15.17</v>
      </c>
      <c r="L11" s="151">
        <v>50.78</v>
      </c>
    </row>
    <row r="12" spans="1:12">
      <c r="A12" s="271" t="s">
        <v>69</v>
      </c>
      <c r="B12" s="145">
        <v>49.44</v>
      </c>
      <c r="C12" s="145">
        <v>51.02</v>
      </c>
      <c r="D12" s="145">
        <v>65.63</v>
      </c>
      <c r="E12" s="145">
        <v>185.56</v>
      </c>
      <c r="F12" s="145">
        <v>52.18</v>
      </c>
      <c r="G12" s="145">
        <v>64.08</v>
      </c>
      <c r="H12" s="145">
        <v>38.56</v>
      </c>
      <c r="I12" s="145">
        <v>49.02</v>
      </c>
      <c r="J12" s="145">
        <v>33.450000000000003</v>
      </c>
      <c r="K12" s="145">
        <v>40.770000000000003</v>
      </c>
      <c r="L12" s="145">
        <v>42.61</v>
      </c>
    </row>
    <row r="13" spans="1:12">
      <c r="A13" s="271" t="s">
        <v>70</v>
      </c>
      <c r="B13" s="151"/>
      <c r="C13" s="151"/>
      <c r="D13" s="151"/>
      <c r="E13" s="151"/>
      <c r="F13" s="151"/>
      <c r="G13" s="151"/>
      <c r="H13" s="151">
        <v>25.2</v>
      </c>
      <c r="I13" s="151">
        <v>23.1</v>
      </c>
      <c r="J13" s="151">
        <v>26.7</v>
      </c>
      <c r="K13" s="151">
        <v>20.260000000000002</v>
      </c>
      <c r="L13" s="151">
        <v>20.420000000000002</v>
      </c>
    </row>
    <row r="14" spans="1:12">
      <c r="A14" s="271" t="s">
        <v>71</v>
      </c>
      <c r="B14" s="145">
        <v>1.35</v>
      </c>
      <c r="C14" s="145">
        <v>4.8899999999999997</v>
      </c>
      <c r="D14" s="145">
        <v>2.69</v>
      </c>
      <c r="E14" s="145">
        <v>2.2200000000000002</v>
      </c>
      <c r="F14" s="145">
        <v>3.52</v>
      </c>
      <c r="G14" s="145">
        <v>-1.43</v>
      </c>
      <c r="H14" s="145">
        <v>-4.8099999999999996</v>
      </c>
      <c r="I14" s="145">
        <v>15.7</v>
      </c>
      <c r="J14" s="145">
        <v>0.93</v>
      </c>
      <c r="K14" s="145">
        <v>-3.96</v>
      </c>
      <c r="L14" s="145">
        <v>1.69</v>
      </c>
    </row>
    <row r="15" spans="1:12">
      <c r="A15" s="271" t="s">
        <v>72</v>
      </c>
      <c r="B15" s="151"/>
      <c r="C15" s="151"/>
      <c r="D15" s="151"/>
      <c r="E15" s="151"/>
      <c r="F15" s="151"/>
      <c r="G15" s="151"/>
      <c r="H15" s="151">
        <v>5.1100000000000003</v>
      </c>
      <c r="I15" s="151">
        <v>2.75</v>
      </c>
      <c r="J15" s="151">
        <v>2.2999999999999998</v>
      </c>
      <c r="K15" s="151">
        <v>3.27</v>
      </c>
      <c r="L15" s="151">
        <v>4.57</v>
      </c>
    </row>
    <row r="16" spans="1:12">
      <c r="A16" s="271" t="s">
        <v>73</v>
      </c>
      <c r="B16" s="145"/>
      <c r="C16" s="145"/>
      <c r="D16" s="145"/>
      <c r="E16" s="145"/>
      <c r="F16" s="145"/>
      <c r="G16" s="145"/>
      <c r="H16" s="145">
        <v>12.81</v>
      </c>
      <c r="I16" s="145">
        <v>-10.65</v>
      </c>
      <c r="J16" s="145">
        <v>2.25</v>
      </c>
      <c r="K16" s="145">
        <v>7.33</v>
      </c>
      <c r="L16" s="145">
        <v>2.17</v>
      </c>
    </row>
    <row r="17" spans="1:12">
      <c r="A17" s="271" t="s">
        <v>360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1:12">
      <c r="A18" s="271" t="s">
        <v>361</v>
      </c>
      <c r="B18" s="145"/>
      <c r="C18" s="145"/>
      <c r="D18" s="145">
        <v>3.93</v>
      </c>
      <c r="E18" s="145">
        <v>17.579999999999998</v>
      </c>
      <c r="F18" s="145">
        <v>2.17</v>
      </c>
      <c r="G18" s="145">
        <v>2.25</v>
      </c>
      <c r="H18" s="145">
        <v>3.92</v>
      </c>
      <c r="I18" s="145">
        <v>10.44</v>
      </c>
      <c r="J18" s="145">
        <v>1.97</v>
      </c>
      <c r="K18" s="145">
        <v>2.02</v>
      </c>
      <c r="L18" s="145">
        <v>3</v>
      </c>
    </row>
    <row r="19" spans="1:12">
      <c r="A19" s="271" t="s">
        <v>83</v>
      </c>
      <c r="B19" s="151">
        <v>0.94</v>
      </c>
      <c r="C19" s="151">
        <v>1.59</v>
      </c>
      <c r="D19" s="151">
        <v>0.24</v>
      </c>
      <c r="E19" s="151">
        <v>8.18</v>
      </c>
      <c r="F19" s="151">
        <v>2.92</v>
      </c>
      <c r="G19" s="151">
        <v>2.97</v>
      </c>
      <c r="H19" s="151">
        <v>2.23</v>
      </c>
      <c r="I19" s="151">
        <v>30.35</v>
      </c>
      <c r="J19" s="151">
        <v>7.81</v>
      </c>
      <c r="K19" s="151">
        <v>1.81</v>
      </c>
      <c r="L19" s="151">
        <v>8.01</v>
      </c>
    </row>
    <row r="20" spans="1:12">
      <c r="A20" s="271" t="s">
        <v>84</v>
      </c>
      <c r="B20" s="145">
        <v>0.95</v>
      </c>
      <c r="C20" s="145">
        <v>0</v>
      </c>
      <c r="D20" s="145">
        <v>0.24</v>
      </c>
      <c r="E20" s="145">
        <v>0.99</v>
      </c>
      <c r="F20" s="145"/>
      <c r="G20" s="145">
        <v>-0.26</v>
      </c>
      <c r="H20" s="145">
        <v>-0.16</v>
      </c>
      <c r="I20" s="145">
        <v>-0.08</v>
      </c>
      <c r="J20" s="145"/>
      <c r="K20" s="145">
        <v>0.39</v>
      </c>
      <c r="L20" s="145">
        <v>0.05</v>
      </c>
    </row>
    <row r="21" spans="1:12">
      <c r="A21" s="271" t="s">
        <v>85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</row>
    <row r="22" spans="1:12">
      <c r="A22" s="271" t="s">
        <v>86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>
      <c r="A23" s="271" t="s">
        <v>87</v>
      </c>
      <c r="B23" s="151"/>
      <c r="C23" s="151"/>
      <c r="D23" s="151"/>
      <c r="E23" s="151"/>
      <c r="F23" s="151"/>
      <c r="G23" s="151"/>
      <c r="H23" s="151"/>
      <c r="I23" s="151"/>
      <c r="J23" s="151">
        <v>0.21</v>
      </c>
      <c r="K23" s="151">
        <v>-0.06</v>
      </c>
      <c r="L23" s="151">
        <v>-0.31</v>
      </c>
    </row>
    <row r="24" spans="1:12">
      <c r="A24" s="271" t="s">
        <v>88</v>
      </c>
      <c r="B24" s="145">
        <v>0.37</v>
      </c>
      <c r="C24" s="145">
        <v>10.199999999999999</v>
      </c>
      <c r="D24" s="145">
        <v>0.23</v>
      </c>
      <c r="E24" s="145">
        <v>18.48</v>
      </c>
      <c r="F24" s="145">
        <v>0.21</v>
      </c>
      <c r="G24" s="145">
        <v>9.6300000000000008</v>
      </c>
      <c r="H24" s="145">
        <v>0.8</v>
      </c>
      <c r="I24" s="145">
        <v>9.9600000000000009</v>
      </c>
      <c r="J24" s="145">
        <v>0.16</v>
      </c>
      <c r="K24" s="145">
        <v>0.46</v>
      </c>
      <c r="L24" s="145">
        <v>-0.47</v>
      </c>
    </row>
    <row r="25" spans="1:12">
      <c r="A25" s="271" t="s">
        <v>89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>
        <v>-9.98</v>
      </c>
      <c r="L25" s="151">
        <v>-0.36</v>
      </c>
    </row>
    <row r="26" spans="1:12">
      <c r="A26" s="271" t="s">
        <v>90</v>
      </c>
      <c r="B26" s="145"/>
      <c r="C26" s="145"/>
      <c r="D26" s="145"/>
      <c r="E26" s="145">
        <v>130.30000000000001</v>
      </c>
      <c r="F26" s="145">
        <v>-0.05</v>
      </c>
      <c r="G26" s="145">
        <v>-0.94</v>
      </c>
      <c r="H26" s="145">
        <v>0.06</v>
      </c>
      <c r="I26" s="145">
        <v>0.41</v>
      </c>
      <c r="J26" s="145">
        <v>-0.41</v>
      </c>
      <c r="K26" s="145">
        <v>3.41</v>
      </c>
      <c r="L26" s="145">
        <v>0.21</v>
      </c>
    </row>
    <row r="27" spans="1:12">
      <c r="A27" s="271" t="s">
        <v>91</v>
      </c>
      <c r="B27" s="151"/>
      <c r="C27" s="151"/>
      <c r="D27" s="151"/>
      <c r="E27" s="151"/>
      <c r="F27" s="151"/>
      <c r="G27" s="151"/>
      <c r="H27" s="151"/>
      <c r="I27" s="151"/>
      <c r="J27" s="151">
        <v>-2.0099999999999998</v>
      </c>
      <c r="K27" s="151">
        <v>0.57999999999999996</v>
      </c>
      <c r="L27" s="151"/>
    </row>
    <row r="28" spans="1:12">
      <c r="A28" s="271" t="s">
        <v>92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>
      <c r="A29" s="271" t="s">
        <v>93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  <row r="30" spans="1:12">
      <c r="A30" s="271" t="s">
        <v>94</v>
      </c>
      <c r="B30" s="145">
        <v>56.15</v>
      </c>
      <c r="C30" s="145">
        <v>44.32</v>
      </c>
      <c r="D30" s="145">
        <v>52.68</v>
      </c>
      <c r="E30" s="145">
        <v>34.28</v>
      </c>
      <c r="F30" s="145">
        <v>61.6</v>
      </c>
      <c r="G30" s="145">
        <v>54.76</v>
      </c>
      <c r="H30" s="145">
        <v>55.15</v>
      </c>
      <c r="I30" s="145">
        <v>30.11</v>
      </c>
      <c r="J30" s="145">
        <v>67.040000000000006</v>
      </c>
      <c r="K30" s="145">
        <v>59.94</v>
      </c>
      <c r="L30" s="145">
        <v>58.57</v>
      </c>
    </row>
    <row r="31" spans="1:12">
      <c r="A31" s="271" t="s">
        <v>95</v>
      </c>
      <c r="B31" s="151">
        <v>1.24</v>
      </c>
      <c r="C31" s="151">
        <v>108.85</v>
      </c>
      <c r="D31" s="151">
        <v>0.09</v>
      </c>
      <c r="E31" s="151">
        <v>-106.48</v>
      </c>
      <c r="F31" s="151">
        <v>0.18</v>
      </c>
      <c r="G31" s="151">
        <v>0.04</v>
      </c>
      <c r="H31" s="151">
        <v>0.2</v>
      </c>
      <c r="I31" s="151">
        <v>3.21</v>
      </c>
      <c r="J31" s="151">
        <v>0.06</v>
      </c>
      <c r="K31" s="151">
        <v>0.13</v>
      </c>
      <c r="L31" s="151">
        <v>0.03</v>
      </c>
    </row>
    <row r="32" spans="1:12">
      <c r="A32" s="271" t="s">
        <v>96</v>
      </c>
      <c r="B32" s="145">
        <v>0.23</v>
      </c>
      <c r="C32" s="145">
        <v>103.85</v>
      </c>
      <c r="D32" s="145">
        <v>8.59</v>
      </c>
      <c r="E32" s="145">
        <v>-108.49</v>
      </c>
      <c r="F32" s="145">
        <v>1.71</v>
      </c>
      <c r="G32" s="145">
        <v>0.14000000000000001</v>
      </c>
      <c r="H32" s="145">
        <v>0.64</v>
      </c>
      <c r="I32" s="145">
        <v>2.34</v>
      </c>
      <c r="J32" s="145">
        <v>0.36</v>
      </c>
      <c r="K32" s="145">
        <v>2.84</v>
      </c>
      <c r="L32" s="145">
        <v>0.6</v>
      </c>
    </row>
    <row r="33" spans="1:12">
      <c r="A33" s="271" t="s">
        <v>97</v>
      </c>
      <c r="B33" s="151">
        <v>0.1</v>
      </c>
      <c r="C33" s="151">
        <v>0.01</v>
      </c>
      <c r="D33" s="151">
        <v>0.01</v>
      </c>
      <c r="E33" s="151"/>
      <c r="F33" s="151"/>
      <c r="G33" s="151"/>
      <c r="H33" s="151"/>
      <c r="I33" s="151"/>
      <c r="J33" s="151"/>
      <c r="K33" s="151"/>
      <c r="L33" s="151"/>
    </row>
    <row r="34" spans="1:12">
      <c r="A34" s="271" t="s">
        <v>98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1:12">
      <c r="A35" s="271" t="s">
        <v>99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</row>
    <row r="36" spans="1:12">
      <c r="A36" s="271" t="s">
        <v>100</v>
      </c>
      <c r="B36" s="145">
        <v>57.16</v>
      </c>
      <c r="C36" s="145">
        <v>49.31</v>
      </c>
      <c r="D36" s="145">
        <v>44.19</v>
      </c>
      <c r="E36" s="145">
        <v>36.299999999999997</v>
      </c>
      <c r="F36" s="145">
        <v>60.07</v>
      </c>
      <c r="G36" s="145">
        <v>54.66</v>
      </c>
      <c r="H36" s="145">
        <v>54.72</v>
      </c>
      <c r="I36" s="145">
        <v>30.98</v>
      </c>
      <c r="J36" s="145">
        <v>66.739999999999995</v>
      </c>
      <c r="K36" s="145">
        <v>57.22</v>
      </c>
      <c r="L36" s="145">
        <v>58</v>
      </c>
    </row>
    <row r="37" spans="1:12">
      <c r="A37" s="271" t="s">
        <v>101</v>
      </c>
      <c r="B37" s="151">
        <v>9.85</v>
      </c>
      <c r="C37" s="151">
        <v>7.07</v>
      </c>
      <c r="D37" s="151">
        <v>8.8800000000000008</v>
      </c>
      <c r="E37" s="151">
        <v>1.0900000000000001</v>
      </c>
      <c r="F37" s="151">
        <v>9.65</v>
      </c>
      <c r="G37" s="151">
        <v>9.33</v>
      </c>
      <c r="H37" s="151">
        <v>9.94</v>
      </c>
      <c r="I37" s="151">
        <v>-2.5499999999999998</v>
      </c>
      <c r="J37" s="151">
        <v>11.73</v>
      </c>
      <c r="K37" s="151">
        <v>9.69</v>
      </c>
      <c r="L37" s="151">
        <v>9.31</v>
      </c>
    </row>
    <row r="38" spans="1:12">
      <c r="A38" s="271" t="s">
        <v>102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</row>
    <row r="39" spans="1:12">
      <c r="A39" s="271" t="s">
        <v>103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</row>
    <row r="40" spans="1:12">
      <c r="A40" s="271" t="s">
        <v>104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</row>
    <row r="41" spans="1:12">
      <c r="A41" s="271" t="s">
        <v>105</v>
      </c>
      <c r="B41" s="151">
        <v>47.31</v>
      </c>
      <c r="C41" s="151">
        <v>42.24</v>
      </c>
      <c r="D41" s="151">
        <v>35.299999999999997</v>
      </c>
      <c r="E41" s="151">
        <v>35.21</v>
      </c>
      <c r="F41" s="151">
        <v>50.42</v>
      </c>
      <c r="G41" s="151">
        <v>45.33</v>
      </c>
      <c r="H41" s="151">
        <v>44.77</v>
      </c>
      <c r="I41" s="151">
        <v>33.53</v>
      </c>
      <c r="J41" s="151">
        <v>55.01</v>
      </c>
      <c r="K41" s="151">
        <v>47.54</v>
      </c>
      <c r="L41" s="151">
        <v>48.68</v>
      </c>
    </row>
    <row r="42" spans="1:12">
      <c r="A42" s="271" t="s">
        <v>106</v>
      </c>
      <c r="B42" s="145"/>
      <c r="C42" s="145"/>
      <c r="D42" s="145"/>
      <c r="E42" s="145">
        <v>35.21</v>
      </c>
      <c r="F42" s="145">
        <v>50.42</v>
      </c>
      <c r="G42" s="145">
        <v>45.33</v>
      </c>
      <c r="H42" s="145">
        <v>44.77</v>
      </c>
      <c r="I42" s="145">
        <v>33.53</v>
      </c>
      <c r="J42" s="145">
        <v>55.01</v>
      </c>
      <c r="K42" s="145">
        <v>47.54</v>
      </c>
      <c r="L42" s="145">
        <v>48.68</v>
      </c>
    </row>
    <row r="43" spans="1:12">
      <c r="A43" s="271" t="s">
        <v>107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2">
      <c r="A44" s="271" t="s">
        <v>108</v>
      </c>
      <c r="B44" s="145">
        <v>-0.68</v>
      </c>
      <c r="C44" s="145">
        <v>-1.24</v>
      </c>
      <c r="D44" s="145">
        <v>-1.36</v>
      </c>
      <c r="E44" s="145">
        <v>-1.34</v>
      </c>
      <c r="F44" s="145">
        <v>-0.56000000000000005</v>
      </c>
      <c r="G44" s="145">
        <v>-0.68</v>
      </c>
      <c r="H44" s="145">
        <v>-1.1100000000000001</v>
      </c>
      <c r="I44" s="145">
        <v>0.15</v>
      </c>
      <c r="J44" s="145">
        <v>-0.65</v>
      </c>
      <c r="K44" s="145">
        <v>0.14000000000000001</v>
      </c>
      <c r="L44" s="145">
        <v>-0.05</v>
      </c>
    </row>
    <row r="45" spans="1:12">
      <c r="A45" s="271" t="s">
        <v>109</v>
      </c>
      <c r="B45" s="151">
        <v>48</v>
      </c>
      <c r="C45" s="151">
        <v>43.48</v>
      </c>
      <c r="D45" s="151">
        <v>36.67</v>
      </c>
      <c r="E45" s="151">
        <v>36.549999999999997</v>
      </c>
      <c r="F45" s="151">
        <v>50.98</v>
      </c>
      <c r="G45" s="151">
        <v>46.01</v>
      </c>
      <c r="H45" s="151">
        <v>45.89</v>
      </c>
      <c r="I45" s="151">
        <v>33.380000000000003</v>
      </c>
      <c r="J45" s="151">
        <v>55.66</v>
      </c>
      <c r="K45" s="151">
        <v>47.4</v>
      </c>
      <c r="L45" s="151">
        <v>48.74</v>
      </c>
    </row>
    <row r="46" spans="1:12">
      <c r="A46" s="271" t="s">
        <v>110</v>
      </c>
      <c r="B46" s="145">
        <v>0.68</v>
      </c>
      <c r="C46" s="145">
        <v>8.84</v>
      </c>
      <c r="D46" s="145">
        <v>0.51</v>
      </c>
      <c r="E46" s="145">
        <v>14.34</v>
      </c>
      <c r="F46" s="145">
        <v>1.02</v>
      </c>
      <c r="G46" s="145">
        <v>-6.32</v>
      </c>
      <c r="H46" s="145">
        <v>9.83</v>
      </c>
      <c r="I46" s="145">
        <v>1.76</v>
      </c>
      <c r="J46" s="145">
        <v>-5.61</v>
      </c>
      <c r="K46" s="145">
        <v>5.23</v>
      </c>
      <c r="L46" s="145"/>
    </row>
    <row r="47" spans="1:12">
      <c r="A47" s="271" t="s">
        <v>111</v>
      </c>
      <c r="B47" s="151">
        <v>48</v>
      </c>
      <c r="C47" s="151">
        <v>51.08</v>
      </c>
      <c r="D47" s="151">
        <v>35.82</v>
      </c>
      <c r="E47" s="151">
        <v>49.55</v>
      </c>
      <c r="F47" s="151">
        <v>51.44</v>
      </c>
      <c r="G47" s="151">
        <v>39.020000000000003</v>
      </c>
      <c r="H47" s="151">
        <v>54.6</v>
      </c>
      <c r="I47" s="151">
        <v>35.29</v>
      </c>
      <c r="J47" s="151">
        <v>49.4</v>
      </c>
      <c r="K47" s="151">
        <v>52.76</v>
      </c>
      <c r="L47" s="151">
        <v>48.68</v>
      </c>
    </row>
    <row r="48" spans="1:12">
      <c r="A48" s="271" t="s">
        <v>112</v>
      </c>
      <c r="B48" s="145">
        <v>-0.68</v>
      </c>
      <c r="C48" s="145">
        <v>-1.24</v>
      </c>
      <c r="D48" s="145">
        <v>-1.36</v>
      </c>
      <c r="E48" s="145">
        <v>-1.49</v>
      </c>
      <c r="F48" s="145">
        <v>-0.56000000000000005</v>
      </c>
      <c r="G48" s="145">
        <v>-0.68</v>
      </c>
      <c r="H48" s="145">
        <v>-1.1100000000000001</v>
      </c>
      <c r="I48" s="145">
        <v>0.18</v>
      </c>
      <c r="J48" s="145">
        <v>-0.65</v>
      </c>
      <c r="K48" s="145">
        <v>0.14000000000000001</v>
      </c>
      <c r="L48" s="145">
        <v>-0.05</v>
      </c>
    </row>
    <row r="49" spans="1:12">
      <c r="A49" s="271" t="s">
        <v>113</v>
      </c>
      <c r="B49" s="151">
        <v>48.68</v>
      </c>
      <c r="C49" s="151">
        <v>52.32</v>
      </c>
      <c r="D49" s="151">
        <v>37.18</v>
      </c>
      <c r="E49" s="151">
        <v>51.04</v>
      </c>
      <c r="F49" s="151">
        <v>52</v>
      </c>
      <c r="G49" s="151">
        <v>39.69</v>
      </c>
      <c r="H49" s="151">
        <v>55.71</v>
      </c>
      <c r="I49" s="151">
        <v>35.11</v>
      </c>
      <c r="J49" s="151">
        <v>50.05</v>
      </c>
      <c r="K49" s="151">
        <v>52.62</v>
      </c>
      <c r="L49" s="151">
        <v>48.74</v>
      </c>
    </row>
    <row r="50" spans="1:12">
      <c r="A50" s="272"/>
    </row>
    <row r="51" spans="1:12">
      <c r="A51" s="273" t="s">
        <v>362</v>
      </c>
    </row>
    <row r="52" spans="1:12">
      <c r="A52" s="273" t="s">
        <v>363</v>
      </c>
      <c r="B52" s="146" t="e">
        <f>B5/#REF!-1</f>
        <v>#REF!</v>
      </c>
      <c r="C52" s="146">
        <f>C5/B5-1</f>
        <v>-1.1054141775248105E-2</v>
      </c>
      <c r="D52" s="146">
        <f t="shared" ref="D52" si="0">D5/C5-1</f>
        <v>0.16602454337899553</v>
      </c>
      <c r="E52" s="146">
        <f t="shared" ref="E52" si="1">E5/D5-1</f>
        <v>-7.3507515959942094E-2</v>
      </c>
      <c r="F52" s="146">
        <f t="shared" ref="F52" si="2">F5/E5-1</f>
        <v>5.516785910842037E-2</v>
      </c>
      <c r="G52" s="146">
        <f t="shared" ref="G52" si="3">G5/F5-1</f>
        <v>2.1134547578811169E-2</v>
      </c>
      <c r="H52" s="146">
        <f t="shared" ref="H52" si="4">H5/G5-1</f>
        <v>0.19132069303694021</v>
      </c>
      <c r="I52" s="146">
        <f t="shared" ref="I52" si="5">I5/H5-1</f>
        <v>-0.27500514509158269</v>
      </c>
      <c r="J52" s="146">
        <f t="shared" ref="J52" si="6">J5/I5-1</f>
        <v>0.22541575000591374</v>
      </c>
      <c r="K52" s="146">
        <f t="shared" ref="K52" si="7">K5/J5-1</f>
        <v>-9.1116173120728949E-2</v>
      </c>
      <c r="L52" s="146">
        <f t="shared" ref="L52" si="8">L5/K5-1</f>
        <v>0.29678008580773962</v>
      </c>
    </row>
    <row r="53" spans="1:12">
      <c r="A53" s="273" t="s">
        <v>364</v>
      </c>
      <c r="B53" s="146" t="e">
        <f>B45/#REF!-1</f>
        <v>#REF!</v>
      </c>
      <c r="C53" s="146">
        <f t="shared" ref="C53" si="9">C45/B45-1</f>
        <v>-9.4166666666666732E-2</v>
      </c>
      <c r="D53" s="146">
        <f t="shared" ref="D53" si="10">D45/C45-1</f>
        <v>-0.1566237350505979</v>
      </c>
      <c r="E53" s="146">
        <f t="shared" ref="E53" si="11">E45/D45-1</f>
        <v>-3.2724297791111301E-3</v>
      </c>
      <c r="F53" s="146">
        <f t="shared" ref="F53" si="12">F45/E45-1</f>
        <v>0.39480164158686737</v>
      </c>
      <c r="G53" s="146">
        <f t="shared" ref="G53" si="13">G45/F45-1</f>
        <v>-9.7489211455472735E-2</v>
      </c>
      <c r="H53" s="146">
        <f t="shared" ref="H53" si="14">H45/G45-1</f>
        <v>-2.6081286676808979E-3</v>
      </c>
      <c r="I53" s="146">
        <f t="shared" ref="I53" si="15">I45/H45-1</f>
        <v>-0.2726084114186097</v>
      </c>
      <c r="J53" s="146">
        <f t="shared" ref="J53" si="16">J45/I45-1</f>
        <v>0.66746554823247428</v>
      </c>
      <c r="K53" s="146">
        <f t="shared" ref="K53" si="17">K45/J45-1</f>
        <v>-0.14840100610851592</v>
      </c>
      <c r="L53" s="146">
        <f t="shared" ref="L53" si="18">L45/K45-1</f>
        <v>2.8270042194092904E-2</v>
      </c>
    </row>
    <row r="54" spans="1:12">
      <c r="A54" s="273" t="s">
        <v>365</v>
      </c>
      <c r="B54" s="147">
        <f t="shared" ref="B54:L54" si="19">(B5-B9)/B5</f>
        <v>0</v>
      </c>
      <c r="C54" s="147">
        <f t="shared" si="19"/>
        <v>0.66238584474885842</v>
      </c>
      <c r="D54" s="147">
        <f t="shared" si="19"/>
        <v>0.32631707764792267</v>
      </c>
      <c r="E54" s="147">
        <f t="shared" si="19"/>
        <v>0.32640616400660427</v>
      </c>
      <c r="F54" s="147">
        <f t="shared" si="19"/>
        <v>0.3353570757964574</v>
      </c>
      <c r="G54" s="147">
        <f t="shared" si="19"/>
        <v>0.29678816606734226</v>
      </c>
      <c r="H54" s="147">
        <f t="shared" si="19"/>
        <v>0.28071619674830223</v>
      </c>
      <c r="I54" s="147">
        <f t="shared" si="19"/>
        <v>0.35202138480827005</v>
      </c>
      <c r="J54" s="147">
        <f t="shared" si="19"/>
        <v>0.333886722520366</v>
      </c>
      <c r="K54" s="147">
        <f t="shared" si="19"/>
        <v>0.29302068731149905</v>
      </c>
      <c r="L54" s="147">
        <f t="shared" si="19"/>
        <v>0.2757513717140283</v>
      </c>
    </row>
    <row r="55" spans="1:12">
      <c r="A55" s="273" t="s">
        <v>366</v>
      </c>
      <c r="B55" s="147">
        <f t="shared" ref="B55:L55" si="20">B11/B5</f>
        <v>5.6235006350251658E-2</v>
      </c>
      <c r="C55" s="147">
        <f t="shared" si="20"/>
        <v>6.3903158295281579E-2</v>
      </c>
      <c r="D55" s="147">
        <f t="shared" si="20"/>
        <v>7.2324542617634463E-2</v>
      </c>
      <c r="E55" s="147">
        <f t="shared" si="20"/>
        <v>0.12761695101816181</v>
      </c>
      <c r="F55" s="147">
        <f t="shared" si="20"/>
        <v>8.8982078404372944E-2</v>
      </c>
      <c r="G55" s="147">
        <f t="shared" si="20"/>
        <v>3.4508826413860737E-2</v>
      </c>
      <c r="H55" s="147">
        <f t="shared" si="20"/>
        <v>8.4482403786787397E-2</v>
      </c>
      <c r="I55" s="147">
        <f t="shared" si="20"/>
        <v>0.12982281834740853</v>
      </c>
      <c r="J55" s="147">
        <f t="shared" si="20"/>
        <v>8.418593876684298E-2</v>
      </c>
      <c r="K55" s="147">
        <f t="shared" si="20"/>
        <v>3.2220381462129903E-2</v>
      </c>
      <c r="L55" s="147">
        <f t="shared" si="20"/>
        <v>8.3170911473261819E-2</v>
      </c>
    </row>
    <row r="56" spans="1:12">
      <c r="A56" s="273" t="s">
        <v>367</v>
      </c>
      <c r="B56" s="148">
        <f t="shared" ref="B56:L56" si="21">B54-B55</f>
        <v>-5.6235006350251658E-2</v>
      </c>
      <c r="C56" s="148">
        <f t="shared" si="21"/>
        <v>0.59848268645357683</v>
      </c>
      <c r="D56" s="148">
        <f t="shared" si="21"/>
        <v>0.25399253503028818</v>
      </c>
      <c r="E56" s="148">
        <f t="shared" si="21"/>
        <v>0.19878921298844246</v>
      </c>
      <c r="F56" s="148">
        <f t="shared" si="21"/>
        <v>0.24637499739208446</v>
      </c>
      <c r="G56" s="148">
        <f t="shared" si="21"/>
        <v>0.26227933965348155</v>
      </c>
      <c r="H56" s="148">
        <f t="shared" si="21"/>
        <v>0.19623379296151483</v>
      </c>
      <c r="I56" s="148">
        <f t="shared" si="21"/>
        <v>0.22219856646086153</v>
      </c>
      <c r="J56" s="148">
        <f t="shared" si="21"/>
        <v>0.249700783753523</v>
      </c>
      <c r="K56" s="148">
        <f t="shared" si="21"/>
        <v>0.26080030584936914</v>
      </c>
      <c r="L56" s="148">
        <f t="shared" si="21"/>
        <v>0.19258046024076647</v>
      </c>
    </row>
    <row r="57" spans="1:12">
      <c r="A57" s="273" t="s">
        <v>368</v>
      </c>
      <c r="B57" s="147">
        <f t="shared" ref="B57:L57" si="22">(B11+B12+B14)/B5</f>
        <v>0.17569029587468835</v>
      </c>
      <c r="C57" s="147">
        <f t="shared" si="22"/>
        <v>0.19687024353120242</v>
      </c>
      <c r="D57" s="147">
        <f t="shared" si="22"/>
        <v>0.21167064390462786</v>
      </c>
      <c r="E57" s="147">
        <f t="shared" si="22"/>
        <v>0.54100165107319753</v>
      </c>
      <c r="F57" s="147">
        <f t="shared" si="22"/>
        <v>0.20519079510129143</v>
      </c>
      <c r="G57" s="147">
        <f t="shared" si="22"/>
        <v>0.16251225890813989</v>
      </c>
      <c r="H57" s="147">
        <f t="shared" si="22"/>
        <v>0.14236468409137681</v>
      </c>
      <c r="I57" s="147">
        <f t="shared" si="22"/>
        <v>0.28292290587372554</v>
      </c>
      <c r="J57" s="147">
        <f t="shared" si="22"/>
        <v>0.15055403266283157</v>
      </c>
      <c r="K57" s="147">
        <f t="shared" si="22"/>
        <v>0.11040312646021835</v>
      </c>
      <c r="L57" s="147">
        <f t="shared" si="22"/>
        <v>0.15572844156907706</v>
      </c>
    </row>
    <row r="58" spans="1:12">
      <c r="A58" s="273" t="s">
        <v>369</v>
      </c>
      <c r="B58" s="147">
        <f t="shared" ref="B58:L58" si="23">B37/B36</f>
        <v>0.17232330300909726</v>
      </c>
      <c r="C58" s="147">
        <f t="shared" si="23"/>
        <v>0.14337862502534982</v>
      </c>
      <c r="D58" s="147">
        <f t="shared" si="23"/>
        <v>0.20095044127630687</v>
      </c>
      <c r="E58" s="147">
        <f t="shared" si="23"/>
        <v>3.0027548209366397E-2</v>
      </c>
      <c r="F58" s="147">
        <f t="shared" si="23"/>
        <v>0.16064591310138174</v>
      </c>
      <c r="G58" s="147">
        <f t="shared" si="23"/>
        <v>0.17069154774972559</v>
      </c>
      <c r="H58" s="147">
        <f t="shared" si="23"/>
        <v>0.18165204678362573</v>
      </c>
      <c r="I58" s="147">
        <f t="shared" si="23"/>
        <v>-8.2311168495803735E-2</v>
      </c>
      <c r="J58" s="147">
        <f t="shared" si="23"/>
        <v>0.17575666766556788</v>
      </c>
      <c r="K58" s="147">
        <f t="shared" si="23"/>
        <v>0.16934638238378188</v>
      </c>
      <c r="L58" s="147">
        <f t="shared" si="23"/>
        <v>0.16051724137931037</v>
      </c>
    </row>
    <row r="59" spans="1:12">
      <c r="A59" s="273" t="s">
        <v>370</v>
      </c>
      <c r="B59" s="147">
        <f t="shared" ref="B59:L59" si="24">B45/B5</f>
        <v>0.11289336281104473</v>
      </c>
      <c r="C59" s="147">
        <f t="shared" si="24"/>
        <v>0.10340563165905631</v>
      </c>
      <c r="D59" s="147">
        <f t="shared" si="24"/>
        <v>7.4792469762793454E-2</v>
      </c>
      <c r="E59" s="147">
        <f t="shared" si="24"/>
        <v>8.0462300495321951E-2</v>
      </c>
      <c r="F59" s="147">
        <f t="shared" si="24"/>
        <v>0.10636122759800545</v>
      </c>
      <c r="G59" s="147">
        <f t="shared" si="24"/>
        <v>9.4005393919581556E-2</v>
      </c>
      <c r="H59" s="147">
        <f t="shared" si="24"/>
        <v>7.8702750908966182E-2</v>
      </c>
      <c r="I59" s="147">
        <f t="shared" si="24"/>
        <v>7.8962931421947824E-2</v>
      </c>
      <c r="J59" s="147">
        <f t="shared" si="24"/>
        <v>0.10744758889618161</v>
      </c>
      <c r="K59" s="147">
        <f t="shared" si="24"/>
        <v>0.10067541735695169</v>
      </c>
      <c r="L59" s="147">
        <f t="shared" si="24"/>
        <v>7.982966178036198E-2</v>
      </c>
    </row>
  </sheetData>
  <phoneticPr fontId="39" type="noConversion"/>
  <conditionalFormatting sqref="B52:L5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B1:R108"/>
  <sheetViews>
    <sheetView showGridLines="0" zoomScale="85" zoomScaleNormal="85" workbookViewId="0">
      <pane xSplit="3" ySplit="3" topLeftCell="D4" activePane="bottomRight" state="frozen"/>
      <selection pane="topRight"/>
      <selection pane="bottomLeft"/>
      <selection pane="bottomRight" activeCell="C4" sqref="C4"/>
    </sheetView>
  </sheetViews>
  <sheetFormatPr defaultColWidth="8.875" defaultRowHeight="13.5"/>
  <cols>
    <col min="1" max="1" width="4.125" style="132" customWidth="1"/>
    <col min="2" max="2" width="0.875" style="132" customWidth="1"/>
    <col min="3" max="3" width="44.875" style="132" customWidth="1"/>
    <col min="4" max="14" width="12.75" style="132" customWidth="1"/>
    <col min="15" max="15" width="0.875" style="132" customWidth="1"/>
    <col min="16" max="16384" width="8.875" style="132"/>
  </cols>
  <sheetData>
    <row r="1" spans="2:18" s="213" customFormat="1" ht="12" customHeight="1"/>
    <row r="2" spans="2:18" s="214" customFormat="1" ht="12" customHeight="1">
      <c r="C2" s="215"/>
      <c r="H2" s="216"/>
    </row>
    <row r="3" spans="2:18" s="214" customFormat="1" ht="12" customHeight="1">
      <c r="C3" s="217"/>
      <c r="D3" s="218"/>
      <c r="E3" s="218"/>
      <c r="F3" s="218"/>
      <c r="G3" s="218"/>
      <c r="H3" s="218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2:18" s="1" customFormat="1" ht="23.1" customHeight="1">
      <c r="C4" s="2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s="1" customFormat="1" ht="6" customHeight="1">
      <c r="B5" s="214"/>
      <c r="C5" s="217"/>
      <c r="D5" s="218"/>
      <c r="E5" s="218"/>
      <c r="F5" s="218"/>
      <c r="G5" s="218"/>
      <c r="H5" s="218"/>
      <c r="I5" s="219"/>
      <c r="J5" s="219"/>
      <c r="K5" s="219"/>
      <c r="L5" s="219"/>
      <c r="M5" s="219"/>
      <c r="N5" s="219"/>
      <c r="O5" s="219"/>
      <c r="P5" s="4"/>
      <c r="Q5" s="4"/>
      <c r="R5" s="4"/>
    </row>
    <row r="6" spans="2:18" s="111" customFormat="1" ht="24.95" customHeight="1">
      <c r="B6" s="220"/>
      <c r="C6" s="286" t="s">
        <v>705</v>
      </c>
      <c r="D6" s="235">
        <v>2014</v>
      </c>
      <c r="E6" s="235">
        <v>2015</v>
      </c>
      <c r="F6" s="235">
        <v>2016</v>
      </c>
      <c r="G6" s="235">
        <v>2017</v>
      </c>
      <c r="H6" s="235">
        <v>2018</v>
      </c>
      <c r="I6" s="235" t="s">
        <v>371</v>
      </c>
      <c r="J6" s="235" t="s">
        <v>24</v>
      </c>
      <c r="K6" s="235" t="s">
        <v>25</v>
      </c>
      <c r="L6" s="235" t="s">
        <v>26</v>
      </c>
      <c r="M6" s="235" t="s">
        <v>27</v>
      </c>
      <c r="N6" s="235" t="s">
        <v>28</v>
      </c>
      <c r="O6" s="220"/>
    </row>
    <row r="7" spans="2:18" s="111" customFormat="1" ht="24.95" customHeight="1">
      <c r="B7" s="220"/>
      <c r="C7" s="118" t="s">
        <v>372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220"/>
    </row>
    <row r="8" spans="2:18" s="111" customFormat="1" ht="24.95" customHeight="1">
      <c r="B8" s="220"/>
      <c r="C8" s="103" t="s">
        <v>373</v>
      </c>
      <c r="D8" s="134"/>
      <c r="E8" s="134"/>
      <c r="F8" s="134">
        <f>IS!F8/BS!F10</f>
        <v>223.74142857142857</v>
      </c>
      <c r="G8" s="134">
        <f>IS!G8/BS!G10</f>
        <v>994.55555555555554</v>
      </c>
      <c r="H8" s="134"/>
      <c r="I8" s="134"/>
      <c r="J8" s="138"/>
      <c r="K8" s="138"/>
      <c r="L8" s="138"/>
      <c r="M8" s="138"/>
      <c r="N8" s="138"/>
      <c r="O8" s="220"/>
    </row>
    <row r="9" spans="2:18" s="111" customFormat="1" ht="24.95" customHeight="1">
      <c r="B9" s="220"/>
      <c r="C9" s="103" t="s">
        <v>374</v>
      </c>
      <c r="D9" s="134">
        <f>IS!D8/BS!D11</f>
        <v>11.676096630642084</v>
      </c>
      <c r="E9" s="134">
        <f>IS!E8/BS!E11</f>
        <v>11.342283950617285</v>
      </c>
      <c r="F9" s="134">
        <f>IS!F8/BS!F11</f>
        <v>13.790525666989524</v>
      </c>
      <c r="G9" s="134">
        <f>IS!G8/BS!G11</f>
        <v>20.964984190186204</v>
      </c>
      <c r="H9" s="134">
        <f>IS!H8/BS!H11</f>
        <v>23.040373395565926</v>
      </c>
      <c r="I9" s="134">
        <f>AVERAGE(D9:H9)</f>
        <v>16.162852766800203</v>
      </c>
      <c r="J9" s="138">
        <f>I9</f>
        <v>16.162852766800203</v>
      </c>
      <c r="K9" s="138">
        <f>J9</f>
        <v>16.162852766800203</v>
      </c>
      <c r="L9" s="138">
        <f t="shared" ref="L9:N9" si="0">K9</f>
        <v>16.162852766800203</v>
      </c>
      <c r="M9" s="138">
        <f t="shared" si="0"/>
        <v>16.162852766800203</v>
      </c>
      <c r="N9" s="138">
        <f t="shared" si="0"/>
        <v>16.162852766800203</v>
      </c>
      <c r="O9" s="220"/>
    </row>
    <row r="10" spans="2:18" s="111" customFormat="1" ht="24.95" customHeight="1">
      <c r="B10" s="220"/>
      <c r="C10" s="103" t="s">
        <v>375</v>
      </c>
      <c r="D10" s="134">
        <f>IS!D12/BS!D15</f>
        <v>1.3601584650638909</v>
      </c>
      <c r="E10" s="134">
        <f>IS!E12/BS!E15</f>
        <v>1.4231484624261763</v>
      </c>
      <c r="F10" s="134">
        <f>IS!F12/BS!F15</f>
        <v>1.3860497326134629</v>
      </c>
      <c r="G10" s="134">
        <f>IS!G12/BS!G15</f>
        <v>1.4645256291680864</v>
      </c>
      <c r="H10" s="134">
        <f>IS!H12/BS!H15</f>
        <v>1.5493630391316766</v>
      </c>
      <c r="I10" s="134">
        <f>AVERAGE(D10:H10)</f>
        <v>1.4366490656806588</v>
      </c>
      <c r="J10" s="138">
        <v>1.55</v>
      </c>
      <c r="K10" s="138">
        <f>J10</f>
        <v>1.55</v>
      </c>
      <c r="L10" s="138">
        <f t="shared" ref="L10:N10" si="1">K10</f>
        <v>1.55</v>
      </c>
      <c r="M10" s="138">
        <f t="shared" si="1"/>
        <v>1.55</v>
      </c>
      <c r="N10" s="138">
        <f t="shared" si="1"/>
        <v>1.55</v>
      </c>
      <c r="O10" s="220"/>
    </row>
    <row r="11" spans="2:18" s="130" customFormat="1" ht="24.95" customHeight="1">
      <c r="B11" s="220"/>
      <c r="C11" s="434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220"/>
    </row>
    <row r="12" spans="2:18" s="111" customFormat="1" ht="24.95" customHeight="1">
      <c r="B12" s="220"/>
      <c r="C12" s="118" t="s">
        <v>376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220"/>
    </row>
    <row r="13" spans="2:18" s="130" customFormat="1" ht="24.95" customHeight="1">
      <c r="B13" s="220"/>
      <c r="C13" s="434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220"/>
    </row>
    <row r="14" spans="2:18" s="111" customFormat="1" ht="24.95" customHeight="1">
      <c r="B14" s="220"/>
      <c r="C14" s="118" t="s">
        <v>377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220"/>
    </row>
    <row r="15" spans="2:18" s="111" customFormat="1" ht="24.95" customHeight="1">
      <c r="B15" s="220"/>
      <c r="C15" s="103" t="s">
        <v>378</v>
      </c>
      <c r="D15" s="134"/>
      <c r="E15" s="134"/>
      <c r="F15" s="134">
        <f>IS!F12/BS!F36</f>
        <v>46.991304347826087</v>
      </c>
      <c r="G15" s="134"/>
      <c r="H15" s="134"/>
      <c r="I15" s="134"/>
      <c r="J15" s="138"/>
      <c r="K15" s="138"/>
      <c r="L15" s="138"/>
      <c r="M15" s="138"/>
      <c r="N15" s="138"/>
      <c r="O15" s="220"/>
    </row>
    <row r="16" spans="2:18" s="111" customFormat="1" ht="24.95" customHeight="1">
      <c r="B16" s="220"/>
      <c r="C16" s="103" t="s">
        <v>379</v>
      </c>
      <c r="D16" s="134">
        <f>IS!D12/BS!D37</f>
        <v>8.0015232292460006</v>
      </c>
      <c r="E16" s="134">
        <f>IS!E12/BS!E37</f>
        <v>7.8242890199298349</v>
      </c>
      <c r="F16" s="134">
        <f>IS!F12/BS!F37</f>
        <v>7.5008675133597054</v>
      </c>
      <c r="G16" s="134">
        <f>IS!G12/BS!G37</f>
        <v>7.4327095299857948</v>
      </c>
      <c r="H16" s="134">
        <f>IS!H12/BS!H37</f>
        <v>7.0114265032831806</v>
      </c>
      <c r="I16" s="134">
        <f>AVERAGE(D16:H16)</f>
        <v>7.5541631591609031</v>
      </c>
      <c r="J16" s="138">
        <f>I16</f>
        <v>7.5541631591609031</v>
      </c>
      <c r="K16" s="138">
        <f>J16</f>
        <v>7.5541631591609031</v>
      </c>
      <c r="L16" s="138">
        <f t="shared" ref="L16:N16" si="2">K16</f>
        <v>7.5541631591609031</v>
      </c>
      <c r="M16" s="138">
        <f t="shared" si="2"/>
        <v>7.5541631591609031</v>
      </c>
      <c r="N16" s="138">
        <f t="shared" si="2"/>
        <v>7.5541631591609031</v>
      </c>
      <c r="O16" s="220"/>
    </row>
    <row r="17" spans="2:18" s="130" customFormat="1" ht="24.95" customHeight="1">
      <c r="B17" s="220"/>
      <c r="C17" s="434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220"/>
    </row>
    <row r="18" spans="2:18" s="111" customFormat="1" ht="24.95" customHeight="1">
      <c r="B18" s="220"/>
      <c r="C18" s="118" t="s">
        <v>380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220"/>
    </row>
    <row r="19" spans="2:18" ht="6" customHeight="1"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</row>
    <row r="20" spans="2:18">
      <c r="B20" s="131"/>
    </row>
    <row r="21" spans="2:18">
      <c r="B21" s="131"/>
    </row>
    <row r="22" spans="2:18" s="1" customFormat="1" ht="6" customHeight="1">
      <c r="B22" s="214"/>
      <c r="C22" s="217"/>
      <c r="D22" s="218"/>
      <c r="E22" s="218"/>
      <c r="F22" s="218"/>
      <c r="G22" s="218"/>
      <c r="H22" s="218"/>
      <c r="I22" s="219"/>
      <c r="J22" s="219"/>
      <c r="K22" s="219"/>
      <c r="L22" s="219"/>
      <c r="M22" s="219"/>
      <c r="N22" s="219"/>
      <c r="O22" s="219"/>
      <c r="P22" s="4"/>
      <c r="Q22" s="4"/>
      <c r="R22" s="4"/>
    </row>
    <row r="23" spans="2:18" s="111" customFormat="1" ht="24.95" customHeight="1">
      <c r="B23" s="220"/>
      <c r="C23" s="286" t="s">
        <v>706</v>
      </c>
      <c r="D23" s="235">
        <v>2014</v>
      </c>
      <c r="E23" s="235">
        <v>2015</v>
      </c>
      <c r="F23" s="235">
        <v>2016</v>
      </c>
      <c r="G23" s="235">
        <v>2017</v>
      </c>
      <c r="H23" s="235">
        <v>2018</v>
      </c>
      <c r="I23" s="235" t="s">
        <v>371</v>
      </c>
      <c r="J23" s="235" t="s">
        <v>24</v>
      </c>
      <c r="K23" s="235" t="s">
        <v>25</v>
      </c>
      <c r="L23" s="235" t="s">
        <v>26</v>
      </c>
      <c r="M23" s="235" t="s">
        <v>27</v>
      </c>
      <c r="N23" s="235" t="s">
        <v>28</v>
      </c>
      <c r="O23" s="220"/>
    </row>
    <row r="24" spans="2:18" s="111" customFormat="1" ht="24.95" customHeight="1">
      <c r="B24" s="220"/>
      <c r="C24" s="118" t="s">
        <v>381</v>
      </c>
      <c r="O24" s="220"/>
    </row>
    <row r="25" spans="2:18" s="111" customFormat="1" ht="24.95" customHeight="1">
      <c r="B25" s="220"/>
      <c r="C25" s="103" t="s">
        <v>382</v>
      </c>
      <c r="D25" s="135">
        <f>BS!D54</f>
        <v>956</v>
      </c>
      <c r="E25" s="135">
        <f>BS!E54</f>
        <v>956</v>
      </c>
      <c r="F25" s="135">
        <f>BS!F54</f>
        <v>956</v>
      </c>
      <c r="G25" s="135">
        <f>BS!G54</f>
        <v>1044.8599999999999</v>
      </c>
      <c r="H25" s="135">
        <f>BS!H54</f>
        <v>1358.32</v>
      </c>
      <c r="I25" s="133"/>
      <c r="J25" s="139">
        <f>H25</f>
        <v>1358.32</v>
      </c>
      <c r="K25" s="139">
        <f>J25</f>
        <v>1358.32</v>
      </c>
      <c r="L25" s="139">
        <f t="shared" ref="L25:N25" si="3">K25</f>
        <v>1358.32</v>
      </c>
      <c r="M25" s="139">
        <f t="shared" si="3"/>
        <v>1358.32</v>
      </c>
      <c r="N25" s="139">
        <f t="shared" si="3"/>
        <v>1358.32</v>
      </c>
      <c r="O25" s="220"/>
    </row>
    <row r="26" spans="2:18" s="111" customFormat="1" ht="24.95" customHeight="1">
      <c r="B26" s="220"/>
      <c r="C26" s="429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1"/>
      <c r="O26" s="220"/>
    </row>
    <row r="27" spans="2:18" s="111" customFormat="1" ht="24.95" customHeight="1">
      <c r="B27" s="220"/>
      <c r="C27" s="118" t="s">
        <v>383</v>
      </c>
      <c r="D27" s="135"/>
      <c r="E27" s="135"/>
      <c r="F27" s="135"/>
      <c r="G27" s="135"/>
      <c r="H27" s="135"/>
      <c r="I27" s="133"/>
      <c r="J27" s="135">
        <f>J28*IS!I7</f>
        <v>0</v>
      </c>
      <c r="K27" s="135">
        <f>K28*IS!J7</f>
        <v>0</v>
      </c>
      <c r="L27" s="135">
        <f>L28*IS!K7</f>
        <v>0</v>
      </c>
      <c r="M27" s="135">
        <f>M28*IS!L7</f>
        <v>0</v>
      </c>
      <c r="N27" s="135">
        <f>N28*IS!M7</f>
        <v>0</v>
      </c>
      <c r="O27" s="220"/>
    </row>
    <row r="28" spans="2:18" s="111" customFormat="1" ht="24.95" customHeight="1">
      <c r="B28" s="220"/>
      <c r="C28" s="103" t="s">
        <v>384</v>
      </c>
      <c r="D28" s="104"/>
      <c r="E28" s="104"/>
      <c r="F28" s="104"/>
      <c r="G28" s="104"/>
      <c r="H28" s="104"/>
      <c r="I28" s="183"/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220"/>
    </row>
    <row r="29" spans="2:18" s="111" customFormat="1" ht="24.95" customHeight="1">
      <c r="B29" s="220"/>
      <c r="C29" s="429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1"/>
      <c r="O29" s="220"/>
    </row>
    <row r="30" spans="2:18" s="111" customFormat="1" ht="24.95" customHeight="1">
      <c r="B30" s="220"/>
      <c r="C30" s="118" t="s">
        <v>385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3"/>
      <c r="J30" s="139"/>
      <c r="K30" s="139"/>
      <c r="L30" s="139"/>
      <c r="M30" s="139"/>
      <c r="N30" s="139"/>
      <c r="O30" s="220"/>
    </row>
    <row r="31" spans="2:18" s="111" customFormat="1" ht="24.95" customHeight="1">
      <c r="B31" s="220"/>
      <c r="C31" s="429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1"/>
      <c r="O31" s="220"/>
    </row>
    <row r="32" spans="2:18" s="111" customFormat="1" ht="24.95" customHeight="1">
      <c r="B32" s="220"/>
      <c r="C32" s="118" t="s">
        <v>686</v>
      </c>
      <c r="D32" s="137"/>
      <c r="E32" s="137"/>
      <c r="F32" s="137"/>
      <c r="G32" s="137"/>
      <c r="H32" s="137"/>
      <c r="I32" s="87"/>
      <c r="J32" s="137"/>
      <c r="K32" s="137"/>
      <c r="L32" s="137"/>
      <c r="M32" s="137"/>
      <c r="N32" s="140"/>
      <c r="O32" s="220"/>
    </row>
    <row r="33" spans="2:18" s="111" customFormat="1" ht="24.95" customHeight="1">
      <c r="B33" s="220"/>
      <c r="C33" s="103" t="s">
        <v>386</v>
      </c>
      <c r="D33" s="135">
        <f>D25</f>
        <v>956</v>
      </c>
      <c r="E33" s="135">
        <f t="shared" ref="E33:H33" si="4">E25</f>
        <v>956</v>
      </c>
      <c r="F33" s="135">
        <f t="shared" si="4"/>
        <v>956</v>
      </c>
      <c r="G33" s="135">
        <f t="shared" si="4"/>
        <v>1044.8599999999999</v>
      </c>
      <c r="H33" s="135">
        <f t="shared" si="4"/>
        <v>1358.32</v>
      </c>
      <c r="I33" s="133"/>
      <c r="J33" s="139">
        <f>J25</f>
        <v>1358.32</v>
      </c>
      <c r="K33" s="139">
        <f t="shared" ref="K33:N33" si="5">K25</f>
        <v>1358.32</v>
      </c>
      <c r="L33" s="139">
        <f t="shared" si="5"/>
        <v>1358.32</v>
      </c>
      <c r="M33" s="139">
        <f t="shared" si="5"/>
        <v>1358.32</v>
      </c>
      <c r="N33" s="139">
        <f t="shared" si="5"/>
        <v>1358.32</v>
      </c>
      <c r="O33" s="220"/>
    </row>
    <row r="34" spans="2:18" s="111" customFormat="1" ht="24.95" customHeight="1">
      <c r="B34" s="220"/>
      <c r="C34" s="103" t="s">
        <v>387</v>
      </c>
      <c r="D34" s="135"/>
      <c r="E34" s="135"/>
      <c r="F34" s="135"/>
      <c r="G34" s="135"/>
      <c r="H34" s="135"/>
      <c r="I34" s="133"/>
      <c r="J34" s="139">
        <f>J33</f>
        <v>1358.32</v>
      </c>
      <c r="K34" s="139">
        <f t="shared" ref="K34:N34" si="6">K33</f>
        <v>1358.32</v>
      </c>
      <c r="L34" s="139">
        <f t="shared" si="6"/>
        <v>1358.32</v>
      </c>
      <c r="M34" s="139">
        <f t="shared" si="6"/>
        <v>1358.32</v>
      </c>
      <c r="N34" s="139">
        <f t="shared" si="6"/>
        <v>1358.32</v>
      </c>
      <c r="O34" s="220"/>
    </row>
    <row r="35" spans="2:18" s="111" customFormat="1" ht="24.95" hidden="1" customHeight="1">
      <c r="B35" s="220"/>
      <c r="C35" s="103" t="s">
        <v>388</v>
      </c>
      <c r="D35" s="135"/>
      <c r="E35" s="135"/>
      <c r="F35" s="135"/>
      <c r="G35" s="135"/>
      <c r="H35" s="135"/>
      <c r="I35" s="133"/>
      <c r="J35" s="139"/>
      <c r="K35" s="139"/>
      <c r="L35" s="139"/>
      <c r="M35" s="139"/>
      <c r="N35" s="139"/>
      <c r="O35" s="220"/>
    </row>
    <row r="36" spans="2:18" s="111" customFormat="1" ht="24.6" customHeight="1">
      <c r="B36" s="220"/>
      <c r="C36" s="429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1"/>
      <c r="O36" s="220"/>
    </row>
    <row r="37" spans="2:18" s="111" customFormat="1" ht="24.95" customHeight="1">
      <c r="B37" s="220"/>
      <c r="C37" s="118" t="s">
        <v>389</v>
      </c>
      <c r="D37" s="135">
        <f>IS!D41</f>
        <v>66.92</v>
      </c>
      <c r="E37" s="135">
        <f>IS!E41</f>
        <v>66.92</v>
      </c>
      <c r="F37" s="135">
        <f>IS!F41</f>
        <v>66.92</v>
      </c>
      <c r="G37" s="135">
        <f>IS!G41</f>
        <v>83.59</v>
      </c>
      <c r="H37" s="135">
        <f>IS!H41</f>
        <v>88.29</v>
      </c>
      <c r="I37" s="133"/>
      <c r="J37" s="139">
        <f>J38*IS!I40</f>
        <v>94.660859307186271</v>
      </c>
      <c r="K37" s="139">
        <f>K38*IS!J40</f>
        <v>111.52600397631559</v>
      </c>
      <c r="L37" s="139">
        <f>L38*IS!K40</f>
        <v>142.00595121600387</v>
      </c>
      <c r="M37" s="139">
        <f>M38*IS!L40</f>
        <v>182.55084075122684</v>
      </c>
      <c r="N37" s="139">
        <f>N38*IS!M40</f>
        <v>235.17529486733662</v>
      </c>
      <c r="O37" s="220"/>
    </row>
    <row r="38" spans="2:18" s="111" customFormat="1" ht="24.95" customHeight="1">
      <c r="B38" s="220"/>
      <c r="C38" s="103" t="s">
        <v>390</v>
      </c>
      <c r="D38" s="104">
        <f>IS!D42</f>
        <v>0.47417274852972441</v>
      </c>
      <c r="E38" s="104">
        <f>IS!E42</f>
        <v>0.45841896150157563</v>
      </c>
      <c r="F38" s="104">
        <f>IS!F42</f>
        <v>0.44174532972473429</v>
      </c>
      <c r="G38" s="104">
        <f>IS!G42</f>
        <v>0.50752884031572565</v>
      </c>
      <c r="H38" s="104">
        <f>IS!H42</f>
        <v>0.50093617021276604</v>
      </c>
      <c r="I38" s="183">
        <f>AVERAGE(D38:H38)</f>
        <v>0.47656041005690525</v>
      </c>
      <c r="J38" s="122">
        <v>0.5</v>
      </c>
      <c r="K38" s="122">
        <v>0.5</v>
      </c>
      <c r="L38" s="122">
        <v>0.5</v>
      </c>
      <c r="M38" s="122">
        <v>0.5</v>
      </c>
      <c r="N38" s="122">
        <v>0.5</v>
      </c>
      <c r="O38" s="220"/>
    </row>
    <row r="39" spans="2:18" s="111" customFormat="1" ht="24.95" customHeight="1">
      <c r="B39" s="220"/>
      <c r="C39" s="429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1"/>
      <c r="O39" s="220"/>
    </row>
    <row r="40" spans="2:18" s="111" customFormat="1" ht="24.95" customHeight="1">
      <c r="B40" s="220"/>
      <c r="C40" s="118" t="s">
        <v>391</v>
      </c>
      <c r="D40" s="135">
        <f>BS!D55</f>
        <v>884.03</v>
      </c>
      <c r="E40" s="135">
        <f>BS!E55</f>
        <v>963.08999999999992</v>
      </c>
      <c r="F40" s="135">
        <f>BS!F55</f>
        <v>1049.6299999999999</v>
      </c>
      <c r="G40" s="135">
        <f>BS!G55</f>
        <v>2148.65</v>
      </c>
      <c r="H40" s="135">
        <f>BS!H55</f>
        <v>1934.12</v>
      </c>
      <c r="I40" s="133"/>
      <c r="J40" s="139">
        <f>H40+IS!I43-(J25-H25)+J30+J27</f>
        <v>2028.7808593071861</v>
      </c>
      <c r="K40" s="139">
        <f>J40+IS!J43-(K25-J25)+K30+K27</f>
        <v>2140.3068632835016</v>
      </c>
      <c r="L40" s="139">
        <f>K40+IS!K43-(L25-K25)+L30+L27</f>
        <v>2282.3128144995053</v>
      </c>
      <c r="M40" s="139">
        <f>L40+IS!L43-(M25-L25)+M30+M27</f>
        <v>2464.8636552507323</v>
      </c>
      <c r="N40" s="139">
        <f>M40+IS!M43-(N25-M25)+N30+N27</f>
        <v>2700.0389501180689</v>
      </c>
      <c r="O40" s="220" t="s">
        <v>392</v>
      </c>
    </row>
    <row r="41" spans="2:18" ht="6" customHeight="1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</row>
    <row r="44" spans="2:18" s="1" customFormat="1" ht="6" customHeight="1">
      <c r="B44" s="214"/>
      <c r="C44" s="217"/>
      <c r="D44" s="218"/>
      <c r="E44" s="218"/>
      <c r="F44" s="218"/>
      <c r="G44" s="218"/>
      <c r="H44" s="218"/>
      <c r="I44" s="219"/>
      <c r="J44" s="219"/>
      <c r="K44" s="219"/>
      <c r="L44" s="219"/>
      <c r="M44" s="219"/>
      <c r="N44" s="219"/>
      <c r="O44" s="219"/>
      <c r="P44" s="4"/>
      <c r="Q44" s="4"/>
      <c r="R44" s="4"/>
    </row>
    <row r="45" spans="2:18" s="111" customFormat="1" ht="24.95" customHeight="1">
      <c r="B45" s="220"/>
      <c r="C45" s="286" t="s">
        <v>393</v>
      </c>
      <c r="D45" s="432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220"/>
    </row>
    <row r="46" spans="2:18" s="111" customFormat="1" ht="24.95" customHeight="1">
      <c r="B46" s="220"/>
      <c r="C46" s="415" t="s">
        <v>394</v>
      </c>
      <c r="D46" s="423"/>
      <c r="E46" s="423"/>
      <c r="F46" s="423"/>
      <c r="G46" s="423"/>
      <c r="H46" s="423"/>
      <c r="I46" s="424"/>
      <c r="J46" s="141">
        <v>0.1</v>
      </c>
      <c r="K46" s="425"/>
      <c r="L46" s="426"/>
      <c r="M46" s="426"/>
      <c r="N46" s="426"/>
      <c r="O46" s="220"/>
    </row>
    <row r="47" spans="2:18" s="111" customFormat="1" ht="24.95" customHeight="1">
      <c r="B47" s="220"/>
      <c r="C47" s="415" t="s">
        <v>395</v>
      </c>
      <c r="D47" s="423"/>
      <c r="E47" s="423"/>
      <c r="F47" s="423"/>
      <c r="G47" s="423"/>
      <c r="H47" s="423"/>
      <c r="I47" s="424"/>
      <c r="J47" s="141">
        <v>2.1999999999999999E-2</v>
      </c>
      <c r="K47" s="427"/>
      <c r="L47" s="428"/>
      <c r="M47" s="428"/>
      <c r="N47" s="428"/>
      <c r="O47" s="220"/>
    </row>
    <row r="48" spans="2:18" s="111" customFormat="1" ht="24.95" customHeight="1">
      <c r="B48" s="220"/>
      <c r="C48" s="415" t="s">
        <v>396</v>
      </c>
      <c r="D48" s="423"/>
      <c r="E48" s="423"/>
      <c r="F48" s="423"/>
      <c r="G48" s="423"/>
      <c r="H48" s="423"/>
      <c r="I48" s="424"/>
      <c r="J48" s="141">
        <v>0.03</v>
      </c>
      <c r="K48" s="427"/>
      <c r="L48" s="428"/>
      <c r="M48" s="428"/>
      <c r="N48" s="428"/>
      <c r="O48" s="220"/>
    </row>
    <row r="49" spans="2:15" s="111" customFormat="1" ht="24.95" customHeight="1">
      <c r="B49" s="220"/>
      <c r="C49" s="415" t="s">
        <v>397</v>
      </c>
      <c r="D49" s="423"/>
      <c r="E49" s="423"/>
      <c r="F49" s="423"/>
      <c r="G49" s="423"/>
      <c r="H49" s="423"/>
      <c r="I49" s="424"/>
      <c r="J49" s="141">
        <v>0.3</v>
      </c>
      <c r="K49" s="427"/>
      <c r="L49" s="428"/>
      <c r="M49" s="428"/>
      <c r="N49" s="428"/>
      <c r="O49" s="220"/>
    </row>
    <row r="50" spans="2:15" s="111" customFormat="1" ht="24.95" customHeight="1">
      <c r="B50" s="220"/>
      <c r="C50" s="415" t="s">
        <v>398</v>
      </c>
      <c r="D50" s="423"/>
      <c r="E50" s="423"/>
      <c r="F50" s="423"/>
      <c r="G50" s="423"/>
      <c r="H50" s="423"/>
      <c r="I50" s="424"/>
      <c r="J50" s="142">
        <v>1.4999999999999999E-2</v>
      </c>
      <c r="K50" s="427"/>
      <c r="L50" s="428"/>
      <c r="M50" s="428"/>
      <c r="N50" s="428"/>
      <c r="O50" s="220"/>
    </row>
    <row r="51" spans="2:15" s="111" customFormat="1" ht="24.95" customHeight="1">
      <c r="B51" s="220"/>
      <c r="C51" s="415" t="s">
        <v>399</v>
      </c>
      <c r="D51" s="423"/>
      <c r="E51" s="423"/>
      <c r="F51" s="423"/>
      <c r="G51" s="423"/>
      <c r="H51" s="423"/>
      <c r="I51" s="424"/>
      <c r="J51" s="142">
        <f>BS!H45/BS!H31</f>
        <v>0</v>
      </c>
      <c r="K51" s="427"/>
      <c r="L51" s="428"/>
      <c r="M51" s="428"/>
      <c r="N51" s="428"/>
      <c r="O51" s="220" t="s">
        <v>392</v>
      </c>
    </row>
    <row r="52" spans="2:15" s="111" customFormat="1" ht="24.95" customHeight="1">
      <c r="B52" s="220"/>
      <c r="C52" s="415" t="s">
        <v>400</v>
      </c>
      <c r="D52" s="423"/>
      <c r="E52" s="423"/>
      <c r="F52" s="423"/>
      <c r="G52" s="423"/>
      <c r="H52" s="423"/>
      <c r="I52" s="424"/>
      <c r="J52" s="142">
        <v>4.7500000000000001E-2</v>
      </c>
      <c r="K52" s="427"/>
      <c r="L52" s="428"/>
      <c r="M52" s="428"/>
      <c r="N52" s="428"/>
      <c r="O52" s="220"/>
    </row>
    <row r="53" spans="2:15" s="111" customFormat="1" ht="24.95" hidden="1" customHeight="1">
      <c r="B53" s="220"/>
      <c r="C53" s="415" t="s">
        <v>401</v>
      </c>
      <c r="D53" s="423"/>
      <c r="E53" s="423"/>
      <c r="F53" s="423"/>
      <c r="G53" s="423"/>
      <c r="H53" s="423"/>
      <c r="I53" s="424"/>
      <c r="J53" s="142"/>
      <c r="K53" s="427"/>
      <c r="L53" s="428"/>
      <c r="M53" s="428"/>
      <c r="N53" s="428"/>
      <c r="O53" s="220"/>
    </row>
    <row r="54" spans="2:15" s="111" customFormat="1" ht="24.95" customHeight="1">
      <c r="B54" s="220"/>
      <c r="C54" s="415" t="s">
        <v>402</v>
      </c>
      <c r="D54" s="423"/>
      <c r="E54" s="423"/>
      <c r="F54" s="423"/>
      <c r="G54" s="423"/>
      <c r="H54" s="423"/>
      <c r="I54" s="424"/>
      <c r="J54" s="142">
        <v>1</v>
      </c>
      <c r="K54" s="427"/>
      <c r="L54" s="428"/>
      <c r="M54" s="428"/>
      <c r="N54" s="428"/>
      <c r="O54" s="220"/>
    </row>
    <row r="55" spans="2:15" ht="6" customHeight="1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</row>
    <row r="59" spans="2:15">
      <c r="F59" s="193"/>
      <c r="G59" s="193"/>
      <c r="H59" s="193"/>
      <c r="I59" s="193"/>
      <c r="J59" s="193"/>
    </row>
    <row r="108" spans="15:15" s="131" customFormat="1">
      <c r="O108" s="131" t="s">
        <v>392</v>
      </c>
    </row>
  </sheetData>
  <mergeCells count="19">
    <mergeCell ref="C11:N11"/>
    <mergeCell ref="C13:N13"/>
    <mergeCell ref="C17:N17"/>
    <mergeCell ref="C26:N26"/>
    <mergeCell ref="C29:N29"/>
    <mergeCell ref="C31:N31"/>
    <mergeCell ref="C36:N36"/>
    <mergeCell ref="C39:N39"/>
    <mergeCell ref="D45:N45"/>
    <mergeCell ref="C46:I46"/>
    <mergeCell ref="C52:I52"/>
    <mergeCell ref="C53:I53"/>
    <mergeCell ref="C54:I54"/>
    <mergeCell ref="K46:N54"/>
    <mergeCell ref="C47:I47"/>
    <mergeCell ref="C48:I48"/>
    <mergeCell ref="C49:I49"/>
    <mergeCell ref="C50:I50"/>
    <mergeCell ref="C51:I51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R1117"/>
  <sheetViews>
    <sheetView showGridLines="0" zoomScale="85" zoomScaleNormal="85" workbookViewId="0">
      <pane ySplit="3" topLeftCell="A4" activePane="bottomLeft" state="frozen"/>
      <selection pane="bottomLeft" activeCell="O15" sqref="O15"/>
    </sheetView>
  </sheetViews>
  <sheetFormatPr defaultColWidth="9" defaultRowHeight="16.5"/>
  <cols>
    <col min="1" max="1" width="4.125" style="17" customWidth="1"/>
    <col min="2" max="2" width="0.875" style="54" customWidth="1"/>
    <col min="3" max="3" width="31.625" style="17" customWidth="1"/>
    <col min="4" max="13" width="15" style="17" customWidth="1"/>
    <col min="14" max="14" width="0.875" style="54" customWidth="1"/>
    <col min="15" max="15" width="9" style="17"/>
    <col min="16" max="16" width="11.25" style="17" customWidth="1"/>
    <col min="17" max="16384" width="9" style="17"/>
  </cols>
  <sheetData>
    <row r="1" spans="2:18" s="188" customFormat="1" ht="12" customHeight="1"/>
    <row r="2" spans="2:18" s="221" customFormat="1" ht="12" customHeight="1">
      <c r="C2" s="222"/>
      <c r="H2" s="223"/>
    </row>
    <row r="3" spans="2:18" s="221" customFormat="1" ht="12" customHeight="1">
      <c r="C3" s="224"/>
      <c r="D3" s="225"/>
      <c r="E3" s="225"/>
      <c r="F3" s="225"/>
      <c r="G3" s="225"/>
      <c r="H3" s="225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2:18" s="96" customFormat="1" ht="23.1" customHeight="1">
      <c r="C4" s="112"/>
      <c r="D4" s="99"/>
      <c r="E4" s="99"/>
      <c r="F4" s="99"/>
      <c r="G4" s="99"/>
      <c r="H4" s="9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2:18" s="96" customFormat="1" ht="6" customHeight="1">
      <c r="B5" s="221"/>
      <c r="C5" s="224"/>
      <c r="D5" s="225"/>
      <c r="E5" s="225"/>
      <c r="F5" s="225"/>
      <c r="G5" s="225"/>
      <c r="H5" s="225"/>
      <c r="I5" s="226"/>
      <c r="J5" s="226"/>
      <c r="K5" s="226"/>
      <c r="L5" s="226"/>
      <c r="M5" s="226"/>
      <c r="N5" s="226"/>
      <c r="O5" s="109"/>
      <c r="P5" s="109"/>
      <c r="Q5" s="109"/>
      <c r="R5" s="109"/>
    </row>
    <row r="6" spans="2:18" s="78" customFormat="1" ht="24.95" customHeight="1">
      <c r="B6" s="188"/>
      <c r="C6" s="286" t="s">
        <v>718</v>
      </c>
      <c r="D6" s="235">
        <v>2014</v>
      </c>
      <c r="E6" s="235">
        <v>2015</v>
      </c>
      <c r="F6" s="235">
        <v>2016</v>
      </c>
      <c r="G6" s="235">
        <v>2017</v>
      </c>
      <c r="H6" s="235">
        <v>2018</v>
      </c>
      <c r="I6" s="235" t="s">
        <v>24</v>
      </c>
      <c r="J6" s="235" t="s">
        <v>25</v>
      </c>
      <c r="K6" s="235" t="s">
        <v>26</v>
      </c>
      <c r="L6" s="235" t="s">
        <v>27</v>
      </c>
      <c r="M6" s="235" t="s">
        <v>28</v>
      </c>
      <c r="N6" s="228"/>
      <c r="O6" s="127"/>
    </row>
    <row r="7" spans="2:18" s="78" customFormat="1" ht="24.95" customHeight="1">
      <c r="B7" s="188"/>
      <c r="C7" s="113" t="s">
        <v>403</v>
      </c>
      <c r="D7" s="339">
        <v>18.71</v>
      </c>
      <c r="E7" s="339">
        <v>0.52</v>
      </c>
      <c r="F7" s="339">
        <v>0.15</v>
      </c>
      <c r="G7" s="339">
        <v>1.98</v>
      </c>
      <c r="H7" s="340">
        <v>0.32</v>
      </c>
      <c r="I7" s="341">
        <f>AVERAGE(E7:H7)</f>
        <v>0.74249999999999994</v>
      </c>
      <c r="J7" s="341">
        <f>I7</f>
        <v>0.74249999999999994</v>
      </c>
      <c r="K7" s="341">
        <f t="shared" ref="K7:M7" si="0">J7</f>
        <v>0.74249999999999994</v>
      </c>
      <c r="L7" s="341">
        <f t="shared" si="0"/>
        <v>0.74249999999999994</v>
      </c>
      <c r="M7" s="341">
        <f t="shared" si="0"/>
        <v>0.74249999999999994</v>
      </c>
      <c r="N7" s="228"/>
      <c r="O7" s="127"/>
      <c r="P7" s="127"/>
      <c r="Q7" s="127"/>
    </row>
    <row r="8" spans="2:18" s="78" customFormat="1" ht="24.95" customHeight="1">
      <c r="B8" s="188"/>
      <c r="C8" s="113" t="s">
        <v>404</v>
      </c>
      <c r="D8" s="339">
        <f>D32</f>
        <v>31.259999999999991</v>
      </c>
      <c r="E8" s="339">
        <f t="shared" ref="E8:H8" si="1">E32</f>
        <v>64.680000000000064</v>
      </c>
      <c r="F8" s="339">
        <f t="shared" si="1"/>
        <v>107.33000000000004</v>
      </c>
      <c r="G8" s="339">
        <f t="shared" si="1"/>
        <v>162.43999999999994</v>
      </c>
      <c r="H8" s="339">
        <f t="shared" si="1"/>
        <v>441.38</v>
      </c>
      <c r="I8" s="341">
        <v>40</v>
      </c>
      <c r="J8" s="341">
        <f>I8*1.07</f>
        <v>42.800000000000004</v>
      </c>
      <c r="K8" s="341">
        <f t="shared" ref="K8:M8" si="2">J8*1.07</f>
        <v>45.796000000000006</v>
      </c>
      <c r="L8" s="341">
        <f t="shared" si="2"/>
        <v>49.001720000000013</v>
      </c>
      <c r="M8" s="341">
        <f t="shared" si="2"/>
        <v>52.43184040000002</v>
      </c>
      <c r="N8" s="228"/>
      <c r="O8" s="127"/>
      <c r="P8" s="127"/>
      <c r="Q8" s="127"/>
    </row>
    <row r="9" spans="2:18" s="78" customFormat="1" ht="24.95" customHeight="1">
      <c r="B9" s="188"/>
      <c r="C9" s="113" t="s">
        <v>405</v>
      </c>
      <c r="D9" s="339"/>
      <c r="E9" s="339"/>
      <c r="F9" s="339"/>
      <c r="G9" s="339"/>
      <c r="H9" s="339"/>
      <c r="I9" s="341"/>
      <c r="J9" s="341"/>
      <c r="K9" s="341"/>
      <c r="L9" s="341"/>
      <c r="M9" s="341"/>
      <c r="N9" s="228"/>
      <c r="O9" s="127"/>
      <c r="P9" s="127"/>
      <c r="Q9" s="127"/>
    </row>
    <row r="10" spans="2:18" s="78" customFormat="1" ht="24.95" customHeight="1">
      <c r="B10" s="188"/>
      <c r="C10" s="113" t="s">
        <v>406</v>
      </c>
      <c r="D10" s="339">
        <f t="shared" ref="D10:H10" si="3">D57</f>
        <v>0.21999999999999886</v>
      </c>
      <c r="E10" s="339">
        <f t="shared" si="3"/>
        <v>1.9999999999996021E-2</v>
      </c>
      <c r="F10" s="339">
        <f t="shared" si="3"/>
        <v>135.72</v>
      </c>
      <c r="G10" s="339">
        <f t="shared" si="3"/>
        <v>7.3700000000000045</v>
      </c>
      <c r="H10" s="339">
        <f t="shared" si="3"/>
        <v>4.6999999999999886</v>
      </c>
      <c r="I10" s="341">
        <f>H10</f>
        <v>4.6999999999999886</v>
      </c>
      <c r="J10" s="341">
        <f>I10*1.07</f>
        <v>5.0289999999999884</v>
      </c>
      <c r="K10" s="341">
        <f t="shared" ref="K10:M10" si="4">J10*1.07</f>
        <v>5.3810299999999875</v>
      </c>
      <c r="L10" s="341">
        <f t="shared" si="4"/>
        <v>5.7577020999999871</v>
      </c>
      <c r="M10" s="341">
        <f t="shared" si="4"/>
        <v>6.1607412469999865</v>
      </c>
      <c r="N10" s="228"/>
      <c r="O10" s="127"/>
    </row>
    <row r="11" spans="2:18" s="78" customFormat="1" ht="24.95" customHeight="1">
      <c r="B11" s="188"/>
      <c r="C11" s="113" t="s">
        <v>407</v>
      </c>
      <c r="D11" s="339">
        <f t="shared" ref="D11:H11" si="5">D70</f>
        <v>1.39</v>
      </c>
      <c r="E11" s="339">
        <f t="shared" si="5"/>
        <v>0.94</v>
      </c>
      <c r="F11" s="339">
        <f t="shared" si="5"/>
        <v>2.13</v>
      </c>
      <c r="G11" s="339">
        <f t="shared" si="5"/>
        <v>4.74</v>
      </c>
      <c r="H11" s="339">
        <f t="shared" si="5"/>
        <v>0.71000000000000041</v>
      </c>
      <c r="I11" s="341">
        <f>AVERAGE(F11:H11)</f>
        <v>2.5266666666666668</v>
      </c>
      <c r="J11" s="341">
        <f>I11*(1+IS!I9-5%)</f>
        <v>2.7279090434222555</v>
      </c>
      <c r="K11" s="341">
        <f>J11*(1+IS!J9-5%)</f>
        <v>3.099121703510495</v>
      </c>
      <c r="L11" s="341">
        <f>K11*(1+IS!K9-5%)</f>
        <v>3.6365514219770434</v>
      </c>
      <c r="M11" s="341">
        <f>L11*(1+IS!L9-5%)</f>
        <v>4.3360389730015401</v>
      </c>
      <c r="N11" s="228"/>
      <c r="O11" s="127"/>
    </row>
    <row r="12" spans="2:18" s="78" customFormat="1" ht="24.95" customHeight="1">
      <c r="B12" s="188"/>
      <c r="C12" s="113" t="s">
        <v>408</v>
      </c>
      <c r="D12" s="339">
        <v>5.91</v>
      </c>
      <c r="E12" s="339">
        <v>5.83</v>
      </c>
      <c r="F12" s="339">
        <v>4.09</v>
      </c>
      <c r="G12" s="339">
        <v>3.65</v>
      </c>
      <c r="H12" s="339">
        <v>-0.5</v>
      </c>
      <c r="I12" s="341">
        <v>0</v>
      </c>
      <c r="J12" s="341">
        <v>0</v>
      </c>
      <c r="K12" s="341">
        <v>0</v>
      </c>
      <c r="L12" s="341">
        <v>0</v>
      </c>
      <c r="M12" s="341">
        <v>0</v>
      </c>
      <c r="N12" s="228"/>
      <c r="O12" s="127"/>
    </row>
    <row r="13" spans="2:18" s="78" customFormat="1" ht="24.95" customHeight="1">
      <c r="B13" s="188"/>
      <c r="C13" s="113" t="s">
        <v>409</v>
      </c>
      <c r="D13" s="339">
        <f>SUM(D7:D12)</f>
        <v>57.489999999999995</v>
      </c>
      <c r="E13" s="339">
        <f t="shared" ref="E13:H13" si="6">SUM(E7:E12)</f>
        <v>71.990000000000052</v>
      </c>
      <c r="F13" s="339">
        <f t="shared" si="6"/>
        <v>249.42000000000004</v>
      </c>
      <c r="G13" s="339">
        <f t="shared" si="6"/>
        <v>180.17999999999995</v>
      </c>
      <c r="H13" s="339">
        <f t="shared" si="6"/>
        <v>446.60999999999996</v>
      </c>
      <c r="I13" s="339">
        <f>SUM(I7:I12)</f>
        <v>47.969166666666652</v>
      </c>
      <c r="J13" s="339">
        <f t="shared" ref="J13" si="7">SUM(J7:J12)</f>
        <v>51.299409043422251</v>
      </c>
      <c r="K13" s="339">
        <f t="shared" ref="K13" si="8">SUM(K7:K12)</f>
        <v>55.018651703510493</v>
      </c>
      <c r="L13" s="339">
        <f t="shared" ref="L13" si="9">SUM(L7:L12)</f>
        <v>59.138473521977048</v>
      </c>
      <c r="M13" s="339">
        <f t="shared" ref="M13" si="10">SUM(M7:M12)</f>
        <v>63.671120620001552</v>
      </c>
      <c r="N13" s="228"/>
      <c r="O13" s="127"/>
    </row>
    <row r="14" spans="2:18" s="78" customFormat="1" ht="6" customHeight="1">
      <c r="B14" s="188"/>
      <c r="C14" s="188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  <c r="O14" s="127"/>
    </row>
    <row r="15" spans="2:18" s="60" customFormat="1" ht="13.5">
      <c r="D15" s="115"/>
      <c r="E15" s="115"/>
      <c r="F15" s="115"/>
    </row>
    <row r="16" spans="2:18" s="60" customFormat="1" ht="13.5">
      <c r="G16" s="116"/>
      <c r="H16" s="117"/>
    </row>
    <row r="17" spans="2:18" s="58" customFormat="1" ht="6" customHeight="1">
      <c r="B17" s="229"/>
      <c r="C17" s="230"/>
      <c r="D17" s="231"/>
      <c r="E17" s="231"/>
      <c r="F17" s="231"/>
      <c r="G17" s="231"/>
      <c r="H17" s="231"/>
      <c r="I17" s="232"/>
      <c r="J17" s="232"/>
      <c r="K17" s="232"/>
      <c r="L17" s="232"/>
      <c r="M17" s="232"/>
      <c r="N17" s="232"/>
      <c r="O17" s="70"/>
      <c r="P17" s="70"/>
      <c r="Q17" s="70"/>
      <c r="R17" s="70"/>
    </row>
    <row r="18" spans="2:18" s="111" customFormat="1" ht="24.95" customHeight="1">
      <c r="B18" s="220"/>
      <c r="C18" s="286" t="s">
        <v>410</v>
      </c>
      <c r="D18" s="235">
        <v>2014</v>
      </c>
      <c r="E18" s="235">
        <v>2015</v>
      </c>
      <c r="F18" s="235">
        <v>2016</v>
      </c>
      <c r="G18" s="235">
        <v>2017</v>
      </c>
      <c r="H18" s="235">
        <v>2018</v>
      </c>
      <c r="I18" s="235" t="s">
        <v>24</v>
      </c>
      <c r="J18" s="235" t="s">
        <v>25</v>
      </c>
      <c r="K18" s="235" t="s">
        <v>26</v>
      </c>
      <c r="L18" s="235" t="s">
        <v>27</v>
      </c>
      <c r="M18" s="235" t="s">
        <v>28</v>
      </c>
      <c r="N18" s="188"/>
    </row>
    <row r="19" spans="2:18" s="111" customFormat="1" ht="24.95" customHeight="1">
      <c r="B19" s="220"/>
      <c r="C19" s="118" t="s">
        <v>411</v>
      </c>
      <c r="D19" s="342">
        <f>资产负债表!B41</f>
        <v>38.53</v>
      </c>
      <c r="E19" s="342">
        <f>资产负债表!C41</f>
        <v>41.71</v>
      </c>
      <c r="F19" s="342">
        <f>资产负债表!D41</f>
        <v>39.96</v>
      </c>
      <c r="G19" s="342">
        <f>资产负债表!E41</f>
        <v>73.19</v>
      </c>
      <c r="H19" s="342">
        <f>资产负债表!F41</f>
        <v>73.13</v>
      </c>
      <c r="I19" s="343">
        <f>H25</f>
        <v>71.12</v>
      </c>
      <c r="J19" s="343">
        <f t="shared" ref="J19:M19" si="11">I25</f>
        <v>68.881146014549458</v>
      </c>
      <c r="K19" s="343">
        <f t="shared" si="11"/>
        <v>66.735657528406378</v>
      </c>
      <c r="L19" s="343">
        <f t="shared" si="11"/>
        <v>64.679640979722791</v>
      </c>
      <c r="M19" s="343">
        <f t="shared" si="11"/>
        <v>62.70936517737627</v>
      </c>
      <c r="N19" s="188"/>
    </row>
    <row r="20" spans="2:18" s="111" customFormat="1" ht="24.95" customHeight="1">
      <c r="B20" s="220"/>
      <c r="C20" s="103" t="s">
        <v>412</v>
      </c>
      <c r="D20" s="344">
        <f>D7</f>
        <v>18.71</v>
      </c>
      <c r="E20" s="344">
        <f t="shared" ref="E20:M20" si="12">E7</f>
        <v>0.52</v>
      </c>
      <c r="F20" s="344">
        <f t="shared" si="12"/>
        <v>0.15</v>
      </c>
      <c r="G20" s="344">
        <f t="shared" si="12"/>
        <v>1.98</v>
      </c>
      <c r="H20" s="344">
        <f t="shared" si="12"/>
        <v>0.32</v>
      </c>
      <c r="I20" s="344">
        <f t="shared" si="12"/>
        <v>0.74249999999999994</v>
      </c>
      <c r="J20" s="344">
        <f t="shared" si="12"/>
        <v>0.74249999999999994</v>
      </c>
      <c r="K20" s="344">
        <f t="shared" si="12"/>
        <v>0.74249999999999994</v>
      </c>
      <c r="L20" s="344">
        <f t="shared" si="12"/>
        <v>0.74249999999999994</v>
      </c>
      <c r="M20" s="344">
        <f t="shared" si="12"/>
        <v>0.74249999999999994</v>
      </c>
      <c r="N20" s="188"/>
    </row>
    <row r="21" spans="2:18" s="111" customFormat="1" ht="24.95" customHeight="1">
      <c r="B21" s="220"/>
      <c r="C21" s="103"/>
      <c r="D21" s="346"/>
      <c r="E21" s="346"/>
      <c r="F21" s="346"/>
      <c r="G21" s="346"/>
      <c r="H21" s="346"/>
      <c r="I21" s="343"/>
      <c r="J21" s="343"/>
      <c r="K21" s="343"/>
      <c r="L21" s="343"/>
      <c r="M21" s="343"/>
      <c r="N21" s="188"/>
    </row>
    <row r="22" spans="2:18" s="111" customFormat="1" ht="24.95" customHeight="1">
      <c r="B22" s="220"/>
      <c r="C22" s="103" t="s">
        <v>413</v>
      </c>
      <c r="D22" s="342">
        <v>3.42</v>
      </c>
      <c r="E22" s="342">
        <v>2.27</v>
      </c>
      <c r="F22" s="342">
        <v>2.2200000000000002</v>
      </c>
      <c r="G22" s="342">
        <v>1.88</v>
      </c>
      <c r="H22" s="342">
        <v>2.34</v>
      </c>
      <c r="I22" s="343">
        <f>(I19+I20/2)*I23</f>
        <v>2.9813539854505562</v>
      </c>
      <c r="J22" s="343">
        <f t="shared" ref="J22:M22" si="13">(J19+J20/2)*J23</f>
        <v>2.8879884861430907</v>
      </c>
      <c r="K22" s="343">
        <f t="shared" si="13"/>
        <v>2.7985165486835983</v>
      </c>
      <c r="L22" s="343">
        <f t="shared" si="13"/>
        <v>2.7127758023465276</v>
      </c>
      <c r="M22" s="343">
        <f t="shared" si="13"/>
        <v>2.6306106476490982</v>
      </c>
      <c r="N22" s="188"/>
    </row>
    <row r="23" spans="2:18" s="111" customFormat="1" ht="24.95" customHeight="1">
      <c r="B23" s="220"/>
      <c r="C23" s="121" t="s">
        <v>414</v>
      </c>
      <c r="D23" s="106">
        <f>D22/(D19+D20/2)</f>
        <v>7.1421113083429036E-2</v>
      </c>
      <c r="E23" s="106">
        <f t="shared" ref="E23:H23" si="14">E22/(E19+E20/2)</f>
        <v>5.4086252084822498E-2</v>
      </c>
      <c r="F23" s="106">
        <f t="shared" si="14"/>
        <v>5.5451479955039337E-2</v>
      </c>
      <c r="G23" s="106">
        <f t="shared" si="14"/>
        <v>2.5343758425451605E-2</v>
      </c>
      <c r="H23" s="106">
        <f t="shared" si="14"/>
        <v>3.1927957429390093E-2</v>
      </c>
      <c r="I23" s="122">
        <f>AVERAGE(E23:H23)</f>
        <v>4.1702361973675883E-2</v>
      </c>
      <c r="J23" s="122">
        <f>I23</f>
        <v>4.1702361973675883E-2</v>
      </c>
      <c r="K23" s="122">
        <f t="shared" ref="K23:M23" si="15">J23</f>
        <v>4.1702361973675883E-2</v>
      </c>
      <c r="L23" s="122">
        <f t="shared" si="15"/>
        <v>4.1702361973675883E-2</v>
      </c>
      <c r="M23" s="122">
        <f t="shared" si="15"/>
        <v>4.1702361973675883E-2</v>
      </c>
      <c r="N23" s="188"/>
    </row>
    <row r="24" spans="2:18" s="111" customFormat="1" ht="24.95" customHeight="1">
      <c r="B24" s="220"/>
      <c r="C24" s="103"/>
      <c r="D24" s="346"/>
      <c r="E24" s="346"/>
      <c r="F24" s="346"/>
      <c r="G24" s="346"/>
      <c r="H24" s="346"/>
      <c r="I24" s="343"/>
      <c r="J24" s="343"/>
      <c r="K24" s="343"/>
      <c r="L24" s="343"/>
      <c r="M24" s="343"/>
      <c r="N24" s="188"/>
    </row>
    <row r="25" spans="2:18" s="111" customFormat="1" ht="24.95" customHeight="1">
      <c r="B25" s="220"/>
      <c r="C25" s="118" t="s">
        <v>415</v>
      </c>
      <c r="D25" s="342">
        <f>资产负债表!C41</f>
        <v>41.71</v>
      </c>
      <c r="E25" s="342">
        <f>资产负债表!D41</f>
        <v>39.96</v>
      </c>
      <c r="F25" s="342">
        <f>资产负债表!E41</f>
        <v>73.19</v>
      </c>
      <c r="G25" s="342">
        <f>资产负债表!F41</f>
        <v>73.13</v>
      </c>
      <c r="H25" s="342">
        <f>资产负债表!G41</f>
        <v>71.12</v>
      </c>
      <c r="I25" s="342">
        <f>I19+I20-I22</f>
        <v>68.881146014549458</v>
      </c>
      <c r="J25" s="342">
        <f t="shared" ref="J25:M25" si="16">J19+J20-J22</f>
        <v>66.735657528406378</v>
      </c>
      <c r="K25" s="342">
        <f t="shared" si="16"/>
        <v>64.679640979722791</v>
      </c>
      <c r="L25" s="342">
        <f t="shared" si="16"/>
        <v>62.70936517737627</v>
      </c>
      <c r="M25" s="342">
        <f t="shared" si="16"/>
        <v>60.82125452972717</v>
      </c>
      <c r="N25" s="188"/>
    </row>
    <row r="26" spans="2:18" s="60" customFormat="1" ht="6" customHeight="1"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59"/>
    </row>
    <row r="27" spans="2:18" s="60" customFormat="1" ht="13.5"/>
    <row r="28" spans="2:18" s="60" customFormat="1" ht="13.5">
      <c r="G28" s="116"/>
      <c r="H28" s="117"/>
    </row>
    <row r="29" spans="2:18" s="58" customFormat="1" ht="6" customHeight="1">
      <c r="B29" s="229"/>
      <c r="C29" s="230"/>
      <c r="D29" s="231"/>
      <c r="E29" s="231"/>
      <c r="F29" s="231"/>
      <c r="G29" s="231"/>
      <c r="H29" s="231"/>
      <c r="I29" s="232"/>
      <c r="J29" s="232"/>
      <c r="K29" s="232"/>
      <c r="L29" s="232"/>
      <c r="M29" s="232"/>
      <c r="N29" s="232"/>
      <c r="O29" s="70"/>
      <c r="P29" s="70"/>
      <c r="Q29" s="70"/>
      <c r="R29" s="70"/>
    </row>
    <row r="30" spans="2:18" s="111" customFormat="1" ht="24.95" customHeight="1">
      <c r="B30" s="220"/>
      <c r="C30" s="286" t="s">
        <v>416</v>
      </c>
      <c r="D30" s="235">
        <v>2014</v>
      </c>
      <c r="E30" s="235">
        <v>2015</v>
      </c>
      <c r="F30" s="235">
        <v>2016</v>
      </c>
      <c r="G30" s="235">
        <v>2017</v>
      </c>
      <c r="H30" s="235">
        <v>2018</v>
      </c>
      <c r="I30" s="235" t="s">
        <v>24</v>
      </c>
      <c r="J30" s="235" t="s">
        <v>25</v>
      </c>
      <c r="K30" s="235" t="s">
        <v>26</v>
      </c>
      <c r="L30" s="235" t="s">
        <v>27</v>
      </c>
      <c r="M30" s="235" t="s">
        <v>28</v>
      </c>
      <c r="N30" s="188"/>
    </row>
    <row r="31" spans="2:18" s="111" customFormat="1" ht="24.95" customHeight="1">
      <c r="B31" s="220"/>
      <c r="C31" s="118" t="s">
        <v>411</v>
      </c>
      <c r="D31" s="119">
        <f>资产负债表!B42</f>
        <v>553.75</v>
      </c>
      <c r="E31" s="119">
        <f>资产负债表!C42</f>
        <v>543.63</v>
      </c>
      <c r="F31" s="119">
        <f>资产负债表!D42</f>
        <v>563.33000000000004</v>
      </c>
      <c r="G31" s="119">
        <f>资产负债表!E42</f>
        <v>623.08000000000004</v>
      </c>
      <c r="H31" s="119">
        <f>资产负债表!F42</f>
        <v>732.97</v>
      </c>
      <c r="I31" s="88">
        <f>H37</f>
        <v>1119.53</v>
      </c>
      <c r="J31" s="88">
        <f t="shared" ref="J31:M31" si="17">I37</f>
        <v>1077.1697134430785</v>
      </c>
      <c r="K31" s="88">
        <f t="shared" si="17"/>
        <v>1043.7685497893535</v>
      </c>
      <c r="L31" s="88">
        <f t="shared" si="17"/>
        <v>1014.696300346497</v>
      </c>
      <c r="M31" s="88">
        <f t="shared" si="17"/>
        <v>989.84346891158316</v>
      </c>
      <c r="N31" s="188"/>
    </row>
    <row r="32" spans="2:18" s="111" customFormat="1" ht="24.95" customHeight="1">
      <c r="B32" s="220"/>
      <c r="C32" s="103" t="s">
        <v>412</v>
      </c>
      <c r="D32" s="114">
        <f t="shared" ref="D32:H32" si="18">D37-(D31-D34)</f>
        <v>31.259999999999991</v>
      </c>
      <c r="E32" s="114">
        <f t="shared" si="18"/>
        <v>64.680000000000064</v>
      </c>
      <c r="F32" s="114">
        <f t="shared" si="18"/>
        <v>107.33000000000004</v>
      </c>
      <c r="G32" s="114">
        <f t="shared" si="18"/>
        <v>162.43999999999994</v>
      </c>
      <c r="H32" s="114">
        <f t="shared" si="18"/>
        <v>441.38</v>
      </c>
      <c r="I32" s="114">
        <f>I8-(I38-H38)</f>
        <v>39.67</v>
      </c>
      <c r="J32" s="114">
        <f t="shared" ref="J32:M32" si="19">J8-(J38-I38)</f>
        <v>45.800000000000004</v>
      </c>
      <c r="K32" s="114">
        <f t="shared" si="19"/>
        <v>47.796000000000006</v>
      </c>
      <c r="L32" s="114">
        <f t="shared" si="19"/>
        <v>50.001720000000013</v>
      </c>
      <c r="M32" s="114">
        <f t="shared" si="19"/>
        <v>52.43184040000002</v>
      </c>
      <c r="N32" s="188"/>
    </row>
    <row r="33" spans="2:18" s="111" customFormat="1" ht="24.95" customHeight="1">
      <c r="B33" s="220"/>
      <c r="C33" s="103"/>
      <c r="D33" s="120"/>
      <c r="E33" s="120"/>
      <c r="F33" s="120"/>
      <c r="G33" s="120"/>
      <c r="H33" s="120"/>
      <c r="I33" s="88"/>
      <c r="J33" s="88"/>
      <c r="K33" s="88"/>
      <c r="L33" s="88"/>
      <c r="M33" s="88"/>
      <c r="N33" s="188"/>
    </row>
    <row r="34" spans="2:18" s="111" customFormat="1" ht="24.95" customHeight="1">
      <c r="B34" s="220"/>
      <c r="C34" s="103" t="s">
        <v>413</v>
      </c>
      <c r="D34" s="119">
        <v>41.38</v>
      </c>
      <c r="E34" s="119">
        <v>44.98</v>
      </c>
      <c r="F34" s="119">
        <v>47.58</v>
      </c>
      <c r="G34" s="119">
        <v>52.55</v>
      </c>
      <c r="H34" s="119">
        <v>54.82</v>
      </c>
      <c r="I34" s="123">
        <f>(I31+I32/2)*I35</f>
        <v>82.030286556921496</v>
      </c>
      <c r="J34" s="123">
        <f t="shared" ref="J34:M34" si="20">(J31+J32/2)*J35</f>
        <v>79.20116365372489</v>
      </c>
      <c r="K34" s="123">
        <f t="shared" si="20"/>
        <v>76.868249442856637</v>
      </c>
      <c r="L34" s="123">
        <f t="shared" si="20"/>
        <v>74.85455143491393</v>
      </c>
      <c r="M34" s="123">
        <f t="shared" si="20"/>
        <v>73.152714755740064</v>
      </c>
      <c r="N34" s="188"/>
    </row>
    <row r="35" spans="2:18" s="111" customFormat="1" ht="24.95" customHeight="1">
      <c r="B35" s="220"/>
      <c r="C35" s="121" t="s">
        <v>414</v>
      </c>
      <c r="D35" s="124">
        <f>D34/(D31+D32/2)</f>
        <v>7.2675541817415437E-2</v>
      </c>
      <c r="E35" s="124">
        <f t="shared" ref="E35:H35" si="21">E34/(E31+E32/2)</f>
        <v>7.8094345191589837E-2</v>
      </c>
      <c r="F35" s="124">
        <f t="shared" si="21"/>
        <v>7.7115697858167395E-2</v>
      </c>
      <c r="G35" s="124">
        <f t="shared" si="21"/>
        <v>7.4613091012352695E-2</v>
      </c>
      <c r="H35" s="124">
        <f t="shared" si="21"/>
        <v>5.7483799257597043E-2</v>
      </c>
      <c r="I35" s="122">
        <f>AVERAGE(D35:H35)</f>
        <v>7.1996495027424487E-2</v>
      </c>
      <c r="J35" s="122">
        <f>I35</f>
        <v>7.1996495027424487E-2</v>
      </c>
      <c r="K35" s="122">
        <f t="shared" ref="K35:M35" si="22">J35</f>
        <v>7.1996495027424487E-2</v>
      </c>
      <c r="L35" s="122">
        <f t="shared" si="22"/>
        <v>7.1996495027424487E-2</v>
      </c>
      <c r="M35" s="122">
        <f t="shared" si="22"/>
        <v>7.1996495027424487E-2</v>
      </c>
      <c r="N35" s="188"/>
      <c r="P35" s="128"/>
    </row>
    <row r="36" spans="2:18" s="111" customFormat="1" ht="24.95" customHeight="1">
      <c r="B36" s="220"/>
      <c r="C36" s="103"/>
      <c r="D36" s="120"/>
      <c r="E36" s="120"/>
      <c r="F36" s="120"/>
      <c r="G36" s="120"/>
      <c r="H36" s="120"/>
      <c r="I36" s="88"/>
      <c r="J36" s="88"/>
      <c r="K36" s="88"/>
      <c r="L36" s="88"/>
      <c r="M36" s="88"/>
      <c r="N36" s="188"/>
    </row>
    <row r="37" spans="2:18" s="111" customFormat="1" ht="24.95" customHeight="1">
      <c r="B37" s="220"/>
      <c r="C37" s="118" t="s">
        <v>415</v>
      </c>
      <c r="D37" s="119">
        <f>资产负债表!C42</f>
        <v>543.63</v>
      </c>
      <c r="E37" s="119">
        <f>资产负债表!D42</f>
        <v>563.33000000000004</v>
      </c>
      <c r="F37" s="119">
        <f>资产负债表!E42</f>
        <v>623.08000000000004</v>
      </c>
      <c r="G37" s="119">
        <f>资产负债表!F42</f>
        <v>732.97</v>
      </c>
      <c r="H37" s="119">
        <f>资产负债表!G42</f>
        <v>1119.53</v>
      </c>
      <c r="I37" s="119">
        <f>I31+I32-I34</f>
        <v>1077.1697134430785</v>
      </c>
      <c r="J37" s="119">
        <f t="shared" ref="J37:M37" si="23">J31+J32-J34</f>
        <v>1043.7685497893535</v>
      </c>
      <c r="K37" s="119">
        <f t="shared" si="23"/>
        <v>1014.696300346497</v>
      </c>
      <c r="L37" s="119">
        <f t="shared" si="23"/>
        <v>989.84346891158316</v>
      </c>
      <c r="M37" s="119">
        <f t="shared" si="23"/>
        <v>969.12259455584319</v>
      </c>
      <c r="N37" s="188"/>
    </row>
    <row r="38" spans="2:18" s="111" customFormat="1" ht="24.95" customHeight="1">
      <c r="B38" s="220"/>
      <c r="C38" s="103" t="s">
        <v>417</v>
      </c>
      <c r="D38" s="119">
        <f>资产负债表!C45</f>
        <v>45.2</v>
      </c>
      <c r="E38" s="119">
        <f>资产负债表!D45</f>
        <v>8.73</v>
      </c>
      <c r="F38" s="119">
        <f>资产负债表!E45</f>
        <v>17.010000000000002</v>
      </c>
      <c r="G38" s="119">
        <f>资产负债表!F45</f>
        <v>63.6</v>
      </c>
      <c r="H38" s="119">
        <f>资产负债表!G45</f>
        <v>12.67</v>
      </c>
      <c r="I38" s="125">
        <v>13</v>
      </c>
      <c r="J38" s="125">
        <v>10</v>
      </c>
      <c r="K38" s="125">
        <v>8</v>
      </c>
      <c r="L38" s="125">
        <v>7</v>
      </c>
      <c r="M38" s="125">
        <v>7</v>
      </c>
      <c r="N38" s="188"/>
    </row>
    <row r="39" spans="2:18" s="60" customFormat="1" ht="6" customHeight="1"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59"/>
    </row>
    <row r="40" spans="2:18" s="60" customFormat="1" ht="13.5"/>
    <row r="41" spans="2:18" s="60" customFormat="1" ht="13.5">
      <c r="G41" s="116"/>
      <c r="H41" s="117"/>
    </row>
    <row r="42" spans="2:18" s="58" customFormat="1" ht="6" customHeight="1">
      <c r="B42" s="229"/>
      <c r="C42" s="230"/>
      <c r="D42" s="231"/>
      <c r="E42" s="231"/>
      <c r="F42" s="231"/>
      <c r="G42" s="231"/>
      <c r="H42" s="231"/>
      <c r="I42" s="232"/>
      <c r="J42" s="232"/>
      <c r="K42" s="232"/>
      <c r="L42" s="232"/>
      <c r="M42" s="232"/>
      <c r="N42" s="232"/>
      <c r="O42" s="70"/>
      <c r="P42" s="70"/>
      <c r="Q42" s="70"/>
      <c r="R42" s="70"/>
    </row>
    <row r="43" spans="2:18" s="111" customFormat="1" ht="24.95" customHeight="1">
      <c r="B43" s="220"/>
      <c r="C43" s="286" t="s">
        <v>418</v>
      </c>
      <c r="D43" s="235">
        <v>2014</v>
      </c>
      <c r="E43" s="235">
        <v>2015</v>
      </c>
      <c r="F43" s="235">
        <v>2016</v>
      </c>
      <c r="G43" s="235">
        <v>2017</v>
      </c>
      <c r="H43" s="235">
        <v>2018</v>
      </c>
      <c r="I43" s="235" t="s">
        <v>24</v>
      </c>
      <c r="J43" s="235" t="s">
        <v>25</v>
      </c>
      <c r="K43" s="235" t="s">
        <v>26</v>
      </c>
      <c r="L43" s="235" t="s">
        <v>27</v>
      </c>
      <c r="M43" s="235" t="s">
        <v>28</v>
      </c>
      <c r="N43" s="188"/>
    </row>
    <row r="44" spans="2:18" s="111" customFormat="1" ht="24.95" customHeight="1">
      <c r="B44" s="220"/>
      <c r="C44" s="118" t="s">
        <v>411</v>
      </c>
      <c r="D44" s="119"/>
      <c r="E44" s="119"/>
      <c r="F44" s="119"/>
      <c r="G44" s="119"/>
      <c r="H44" s="119"/>
      <c r="I44" s="88"/>
      <c r="J44" s="88"/>
      <c r="K44" s="88"/>
      <c r="L44" s="88"/>
      <c r="M44" s="88"/>
      <c r="N44" s="188"/>
    </row>
    <row r="45" spans="2:18" s="111" customFormat="1" ht="24.95" customHeight="1">
      <c r="B45" s="220"/>
      <c r="C45" s="103" t="s">
        <v>412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88"/>
    </row>
    <row r="46" spans="2:18" s="111" customFormat="1" ht="24.95" customHeight="1">
      <c r="B46" s="220"/>
      <c r="C46" s="103"/>
      <c r="D46" s="120"/>
      <c r="E46" s="120"/>
      <c r="F46" s="120"/>
      <c r="G46" s="120"/>
      <c r="H46" s="120"/>
      <c r="I46" s="88"/>
      <c r="J46" s="88"/>
      <c r="K46" s="88"/>
      <c r="L46" s="88"/>
      <c r="M46" s="88"/>
      <c r="N46" s="188"/>
    </row>
    <row r="47" spans="2:18" s="111" customFormat="1" ht="24.95" customHeight="1">
      <c r="B47" s="220"/>
      <c r="C47" s="103" t="s">
        <v>413</v>
      </c>
      <c r="D47" s="119"/>
      <c r="E47" s="119"/>
      <c r="F47" s="119"/>
      <c r="G47" s="119"/>
      <c r="H47" s="119"/>
      <c r="I47" s="123"/>
      <c r="J47" s="123"/>
      <c r="K47" s="123"/>
      <c r="L47" s="123"/>
      <c r="M47" s="123"/>
      <c r="N47" s="188"/>
    </row>
    <row r="48" spans="2:18" s="111" customFormat="1" ht="24.95" customHeight="1">
      <c r="B48" s="220"/>
      <c r="C48" s="121" t="s">
        <v>414</v>
      </c>
      <c r="D48" s="106"/>
      <c r="E48" s="106"/>
      <c r="F48" s="106"/>
      <c r="G48" s="106"/>
      <c r="H48" s="106"/>
      <c r="I48" s="122"/>
      <c r="J48" s="122"/>
      <c r="K48" s="122"/>
      <c r="L48" s="122"/>
      <c r="M48" s="122"/>
      <c r="N48" s="188"/>
    </row>
    <row r="49" spans="2:18" s="111" customFormat="1" ht="24.95" customHeight="1">
      <c r="B49" s="220"/>
      <c r="C49" s="103"/>
      <c r="D49" s="120"/>
      <c r="E49" s="120"/>
      <c r="F49" s="120"/>
      <c r="G49" s="120"/>
      <c r="H49" s="120"/>
      <c r="I49" s="88"/>
      <c r="J49" s="88"/>
      <c r="K49" s="88"/>
      <c r="L49" s="88"/>
      <c r="M49" s="88"/>
      <c r="N49" s="188"/>
    </row>
    <row r="50" spans="2:18" s="111" customFormat="1" ht="24.95" customHeight="1">
      <c r="B50" s="220"/>
      <c r="C50" s="118" t="s">
        <v>415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88"/>
    </row>
    <row r="51" spans="2:18" s="60" customFormat="1" ht="6" customHeight="1"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59"/>
    </row>
    <row r="52" spans="2:18" s="60" customFormat="1" ht="13.5"/>
    <row r="53" spans="2:18" s="60" customFormat="1" ht="13.5">
      <c r="G53" s="116"/>
      <c r="H53" s="117"/>
    </row>
    <row r="54" spans="2:18" s="58" customFormat="1" ht="6" customHeight="1">
      <c r="B54" s="229"/>
      <c r="C54" s="230"/>
      <c r="D54" s="231"/>
      <c r="E54" s="231"/>
      <c r="F54" s="231"/>
      <c r="G54" s="231"/>
      <c r="H54" s="231"/>
      <c r="I54" s="232"/>
      <c r="J54" s="232"/>
      <c r="K54" s="232"/>
      <c r="L54" s="232"/>
      <c r="M54" s="232"/>
      <c r="N54" s="232"/>
      <c r="O54" s="70"/>
      <c r="P54" s="70"/>
      <c r="Q54" s="70"/>
      <c r="R54" s="70"/>
    </row>
    <row r="55" spans="2:18" s="111" customFormat="1" ht="24.95" customHeight="1">
      <c r="B55" s="220"/>
      <c r="C55" s="286" t="s">
        <v>419</v>
      </c>
      <c r="D55" s="235">
        <v>2014</v>
      </c>
      <c r="E55" s="235">
        <v>2015</v>
      </c>
      <c r="F55" s="235">
        <v>2016</v>
      </c>
      <c r="G55" s="235">
        <v>2017</v>
      </c>
      <c r="H55" s="235">
        <v>2018</v>
      </c>
      <c r="I55" s="235" t="s">
        <v>24</v>
      </c>
      <c r="J55" s="235" t="s">
        <v>25</v>
      </c>
      <c r="K55" s="235" t="s">
        <v>26</v>
      </c>
      <c r="L55" s="235" t="s">
        <v>27</v>
      </c>
      <c r="M55" s="235" t="s">
        <v>28</v>
      </c>
      <c r="N55" s="188"/>
    </row>
    <row r="56" spans="2:18" s="111" customFormat="1" ht="24.95" customHeight="1">
      <c r="B56" s="220"/>
      <c r="C56" s="118" t="s">
        <v>411</v>
      </c>
      <c r="D56" s="342">
        <f>资产负债表!B51</f>
        <v>84.19</v>
      </c>
      <c r="E56" s="342">
        <f>资产负债表!C51</f>
        <v>82.19</v>
      </c>
      <c r="F56" s="342">
        <f>资产负债表!D51</f>
        <v>79.989999999999995</v>
      </c>
      <c r="G56" s="342">
        <f>资产负债表!E51</f>
        <v>210.23</v>
      </c>
      <c r="H56" s="342">
        <f>资产负债表!F51</f>
        <v>210.4</v>
      </c>
      <c r="I56" s="342">
        <f>H62</f>
        <v>205.73</v>
      </c>
      <c r="J56" s="342">
        <f t="shared" ref="J56:M56" si="24">I62</f>
        <v>203.43406144996314</v>
      </c>
      <c r="K56" s="342">
        <f t="shared" si="24"/>
        <v>201.53878482379807</v>
      </c>
      <c r="L56" s="342">
        <f t="shared" si="24"/>
        <v>200.0533421609552</v>
      </c>
      <c r="M56" s="342">
        <f t="shared" si="24"/>
        <v>198.98818212366163</v>
      </c>
      <c r="N56" s="188"/>
    </row>
    <row r="57" spans="2:18" s="111" customFormat="1" ht="24.95" customHeight="1">
      <c r="B57" s="220"/>
      <c r="C57" s="103" t="s">
        <v>412</v>
      </c>
      <c r="D57" s="342">
        <f t="shared" ref="D57:H57" si="25">D62-(D56-D59)</f>
        <v>0.21999999999999886</v>
      </c>
      <c r="E57" s="342">
        <f t="shared" si="25"/>
        <v>1.9999999999996021E-2</v>
      </c>
      <c r="F57" s="342">
        <f t="shared" si="25"/>
        <v>135.72</v>
      </c>
      <c r="G57" s="342">
        <f t="shared" si="25"/>
        <v>7.3700000000000045</v>
      </c>
      <c r="H57" s="342">
        <f t="shared" si="25"/>
        <v>4.6999999999999886</v>
      </c>
      <c r="I57" s="345">
        <f>I10-(I63-H63)</f>
        <v>4.6999999999999886</v>
      </c>
      <c r="J57" s="345">
        <f t="shared" ref="J57:M57" si="26">J10-(J63-I63)</f>
        <v>5.0289999999999884</v>
      </c>
      <c r="K57" s="345">
        <f t="shared" si="26"/>
        <v>5.3810299999999875</v>
      </c>
      <c r="L57" s="345">
        <f t="shared" si="26"/>
        <v>5.7577020999999871</v>
      </c>
      <c r="M57" s="345">
        <f t="shared" si="26"/>
        <v>6.1607412469999865</v>
      </c>
      <c r="N57" s="188"/>
    </row>
    <row r="58" spans="2:18" s="111" customFormat="1" ht="24.95" customHeight="1">
      <c r="B58" s="220"/>
      <c r="C58" s="103"/>
      <c r="D58" s="342"/>
      <c r="E58" s="342"/>
      <c r="F58" s="342"/>
      <c r="G58" s="346"/>
      <c r="H58" s="346"/>
      <c r="I58" s="343"/>
      <c r="J58" s="343"/>
      <c r="K58" s="343"/>
      <c r="L58" s="343"/>
      <c r="M58" s="343"/>
      <c r="N58" s="188"/>
    </row>
    <row r="59" spans="2:18" s="111" customFormat="1" ht="24.95" customHeight="1">
      <c r="B59" s="220"/>
      <c r="C59" s="103" t="s">
        <v>420</v>
      </c>
      <c r="D59" s="342">
        <v>2.2200000000000002</v>
      </c>
      <c r="E59" s="342">
        <v>2.2200000000000002</v>
      </c>
      <c r="F59" s="342">
        <v>5.48</v>
      </c>
      <c r="G59" s="342">
        <v>7.2</v>
      </c>
      <c r="H59" s="342">
        <v>9.3699999999999992</v>
      </c>
      <c r="I59" s="343">
        <f>(I56+I57/2)*I60</f>
        <v>6.9959385500368292</v>
      </c>
      <c r="J59" s="343">
        <f t="shared" ref="J59:M59" si="27">(J56+J57/2)*J60</f>
        <v>6.924276626165061</v>
      </c>
      <c r="K59" s="343">
        <f t="shared" si="27"/>
        <v>6.8664726628428427</v>
      </c>
      <c r="L59" s="343">
        <f t="shared" si="27"/>
        <v>6.8228621372935576</v>
      </c>
      <c r="M59" s="343">
        <f t="shared" si="27"/>
        <v>6.793825345607547</v>
      </c>
      <c r="N59" s="188"/>
      <c r="P59" s="128"/>
    </row>
    <row r="60" spans="2:18" s="111" customFormat="1" ht="24.95" customHeight="1">
      <c r="B60" s="220"/>
      <c r="C60" s="121" t="s">
        <v>421</v>
      </c>
      <c r="D60" s="106">
        <f t="shared" ref="D60:H60" si="28">D59/(D56+D57/2)</f>
        <v>2.6334519572953741E-2</v>
      </c>
      <c r="E60" s="106">
        <f t="shared" si="28"/>
        <v>2.7007299270072997E-2</v>
      </c>
      <c r="F60" s="106">
        <f t="shared" si="28"/>
        <v>3.7064592492390941E-2</v>
      </c>
      <c r="G60" s="106">
        <f t="shared" si="28"/>
        <v>3.3658228735712788E-2</v>
      </c>
      <c r="H60" s="106">
        <f t="shared" si="28"/>
        <v>4.4042303172737954E-2</v>
      </c>
      <c r="I60" s="122">
        <f>AVERAGE(D60:H60)</f>
        <v>3.362138864877369E-2</v>
      </c>
      <c r="J60" s="122">
        <f>I60</f>
        <v>3.362138864877369E-2</v>
      </c>
      <c r="K60" s="122">
        <f t="shared" ref="K60:M60" si="29">J60</f>
        <v>3.362138864877369E-2</v>
      </c>
      <c r="L60" s="122">
        <f t="shared" si="29"/>
        <v>3.362138864877369E-2</v>
      </c>
      <c r="M60" s="122">
        <f t="shared" si="29"/>
        <v>3.362138864877369E-2</v>
      </c>
      <c r="N60" s="188"/>
    </row>
    <row r="61" spans="2:18" ht="24.95" customHeight="1">
      <c r="B61" s="188"/>
      <c r="C61" s="126"/>
      <c r="D61" s="347"/>
      <c r="E61" s="347"/>
      <c r="F61" s="347"/>
      <c r="G61" s="347"/>
      <c r="H61" s="347"/>
      <c r="I61" s="348"/>
      <c r="J61" s="348"/>
      <c r="K61" s="348"/>
      <c r="L61" s="348"/>
      <c r="M61" s="348"/>
      <c r="N61" s="188"/>
      <c r="P61" s="94"/>
    </row>
    <row r="62" spans="2:18" s="111" customFormat="1" ht="24.95" customHeight="1">
      <c r="B62" s="220"/>
      <c r="C62" s="118" t="s">
        <v>415</v>
      </c>
      <c r="D62" s="342">
        <f>资产负债表!C51</f>
        <v>82.19</v>
      </c>
      <c r="E62" s="342">
        <f>资产负债表!D51</f>
        <v>79.989999999999995</v>
      </c>
      <c r="F62" s="342">
        <f>资产负债表!E51</f>
        <v>210.23</v>
      </c>
      <c r="G62" s="342">
        <f>资产负债表!F51</f>
        <v>210.4</v>
      </c>
      <c r="H62" s="342">
        <f>资产负债表!G51</f>
        <v>205.73</v>
      </c>
      <c r="I62" s="342">
        <f>I56+I57-I59</f>
        <v>203.43406144996314</v>
      </c>
      <c r="J62" s="342">
        <f t="shared" ref="J62:M62" si="30">J56+J57-J59</f>
        <v>201.53878482379807</v>
      </c>
      <c r="K62" s="342">
        <f t="shared" si="30"/>
        <v>200.0533421609552</v>
      </c>
      <c r="L62" s="342">
        <f t="shared" si="30"/>
        <v>198.98818212366163</v>
      </c>
      <c r="M62" s="342">
        <f t="shared" si="30"/>
        <v>198.35509802505405</v>
      </c>
      <c r="N62" s="188"/>
    </row>
    <row r="63" spans="2:18" s="111" customFormat="1" ht="24.95" customHeight="1">
      <c r="B63" s="220"/>
      <c r="C63" s="103" t="s">
        <v>422</v>
      </c>
      <c r="D63" s="342">
        <f>资产负债表!C52</f>
        <v>0</v>
      </c>
      <c r="E63" s="342">
        <f>资产负债表!D52</f>
        <v>0</v>
      </c>
      <c r="F63" s="342">
        <f>资产负债表!E52</f>
        <v>0</v>
      </c>
      <c r="G63" s="342">
        <f>资产负债表!F52</f>
        <v>0</v>
      </c>
      <c r="H63" s="342">
        <f>资产负债表!G52</f>
        <v>0</v>
      </c>
      <c r="I63" s="349">
        <v>0</v>
      </c>
      <c r="J63" s="349">
        <v>0</v>
      </c>
      <c r="K63" s="349">
        <v>0</v>
      </c>
      <c r="L63" s="349">
        <v>0</v>
      </c>
      <c r="M63" s="349">
        <v>0</v>
      </c>
      <c r="N63" s="188"/>
    </row>
    <row r="64" spans="2:18" s="60" customFormat="1" ht="6" customHeight="1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59"/>
    </row>
    <row r="65" spans="2:18" s="60" customFormat="1" ht="13.5"/>
    <row r="66" spans="2:18" s="60" customFormat="1" ht="13.5">
      <c r="G66" s="116"/>
      <c r="H66" s="117"/>
    </row>
    <row r="67" spans="2:18" s="58" customFormat="1" ht="6" customHeight="1">
      <c r="B67" s="229"/>
      <c r="C67" s="230"/>
      <c r="D67" s="231"/>
      <c r="E67" s="231"/>
      <c r="F67" s="231"/>
      <c r="G67" s="231"/>
      <c r="H67" s="231"/>
      <c r="I67" s="232"/>
      <c r="J67" s="232"/>
      <c r="K67" s="232"/>
      <c r="L67" s="232"/>
      <c r="M67" s="232"/>
      <c r="N67" s="232"/>
      <c r="O67" s="70"/>
      <c r="P67" s="70"/>
      <c r="Q67" s="70"/>
      <c r="R67" s="70"/>
    </row>
    <row r="68" spans="2:18" s="111" customFormat="1" ht="24.95" customHeight="1">
      <c r="B68" s="220"/>
      <c r="C68" s="286" t="s">
        <v>423</v>
      </c>
      <c r="D68" s="235">
        <v>2014</v>
      </c>
      <c r="E68" s="235">
        <v>2015</v>
      </c>
      <c r="F68" s="235">
        <v>2016</v>
      </c>
      <c r="G68" s="235">
        <v>2017</v>
      </c>
      <c r="H68" s="235">
        <v>2018</v>
      </c>
      <c r="I68" s="235" t="s">
        <v>24</v>
      </c>
      <c r="J68" s="235" t="s">
        <v>25</v>
      </c>
      <c r="K68" s="235" t="s">
        <v>26</v>
      </c>
      <c r="L68" s="235" t="s">
        <v>27</v>
      </c>
      <c r="M68" s="235" t="s">
        <v>28</v>
      </c>
      <c r="N68" s="188"/>
    </row>
    <row r="69" spans="2:18" s="111" customFormat="1" ht="24.95" customHeight="1">
      <c r="B69" s="220"/>
      <c r="C69" s="118" t="s">
        <v>411</v>
      </c>
      <c r="D69" s="342">
        <f>资产负债表!B54</f>
        <v>0.18</v>
      </c>
      <c r="E69" s="342">
        <f>资产负债表!C54</f>
        <v>1.41</v>
      </c>
      <c r="F69" s="342">
        <f>资产负债表!D54</f>
        <v>1.98</v>
      </c>
      <c r="G69" s="342">
        <f>资产负债表!E54</f>
        <v>3.11</v>
      </c>
      <c r="H69" s="342">
        <f>资产负债表!F54</f>
        <v>5.0599999999999996</v>
      </c>
      <c r="I69" s="342">
        <f>H75</f>
        <v>4.17</v>
      </c>
      <c r="J69" s="342">
        <f t="shared" ref="J69" si="31">I75</f>
        <v>5.3383333333333338</v>
      </c>
      <c r="K69" s="342">
        <f t="shared" ref="K69" si="32">J75</f>
        <v>6.3906704129944742</v>
      </c>
      <c r="L69" s="342">
        <f t="shared" ref="L69" si="33">K75</f>
        <v>7.5047343003175389</v>
      </c>
      <c r="M69" s="342">
        <f t="shared" ref="M69" si="34">L75</f>
        <v>8.8105332194680681</v>
      </c>
      <c r="N69" s="188"/>
    </row>
    <row r="70" spans="2:18" s="111" customFormat="1" ht="24.95" customHeight="1">
      <c r="B70" s="220"/>
      <c r="C70" s="103" t="s">
        <v>412</v>
      </c>
      <c r="D70" s="342">
        <f t="shared" ref="D70:G70" si="35">D75-(D69-D72)</f>
        <v>1.39</v>
      </c>
      <c r="E70" s="342">
        <f t="shared" si="35"/>
        <v>0.94</v>
      </c>
      <c r="F70" s="342">
        <f t="shared" si="35"/>
        <v>2.13</v>
      </c>
      <c r="G70" s="342">
        <f t="shared" si="35"/>
        <v>4.74</v>
      </c>
      <c r="H70" s="342">
        <f>H75-(H69-H72)</f>
        <v>0.71000000000000041</v>
      </c>
      <c r="I70" s="345">
        <f>I11</f>
        <v>2.5266666666666668</v>
      </c>
      <c r="J70" s="345">
        <f>J11</f>
        <v>2.7279090434222555</v>
      </c>
      <c r="K70" s="345">
        <f>K11</f>
        <v>3.099121703510495</v>
      </c>
      <c r="L70" s="345">
        <f>L11</f>
        <v>3.6365514219770434</v>
      </c>
      <c r="M70" s="345">
        <f>M11</f>
        <v>4.3360389730015401</v>
      </c>
      <c r="N70" s="188"/>
    </row>
    <row r="71" spans="2:18" s="111" customFormat="1" ht="24.95" customHeight="1">
      <c r="B71" s="220"/>
      <c r="C71" s="103"/>
      <c r="D71" s="342"/>
      <c r="E71" s="342"/>
      <c r="F71" s="342"/>
      <c r="G71" s="346"/>
      <c r="H71" s="346"/>
      <c r="I71" s="343"/>
      <c r="J71" s="343"/>
      <c r="K71" s="343"/>
      <c r="L71" s="343"/>
      <c r="M71" s="343"/>
      <c r="N71" s="188"/>
    </row>
    <row r="72" spans="2:18" s="111" customFormat="1" ht="24.95" customHeight="1">
      <c r="B72" s="220"/>
      <c r="C72" s="103" t="s">
        <v>420</v>
      </c>
      <c r="D72" s="342">
        <v>0.16</v>
      </c>
      <c r="E72" s="342">
        <v>0.37</v>
      </c>
      <c r="F72" s="342">
        <v>1</v>
      </c>
      <c r="G72" s="342">
        <v>2.79</v>
      </c>
      <c r="H72" s="342">
        <v>1.6</v>
      </c>
      <c r="I72" s="343">
        <f>(I69+I70/2)*I73</f>
        <v>1.3583333333333334</v>
      </c>
      <c r="J72" s="343">
        <f t="shared" ref="J72:M72" si="36">(J69+J70/2)*J73</f>
        <v>1.6755719637611155</v>
      </c>
      <c r="K72" s="343">
        <f t="shared" si="36"/>
        <v>1.9850578161874304</v>
      </c>
      <c r="L72" s="343">
        <f t="shared" si="36"/>
        <v>2.330752502826515</v>
      </c>
      <c r="M72" s="343">
        <f t="shared" si="36"/>
        <v>2.7446381764922094</v>
      </c>
      <c r="N72" s="188"/>
      <c r="P72" s="128"/>
    </row>
    <row r="73" spans="2:18" s="111" customFormat="1" ht="24.95" customHeight="1">
      <c r="B73" s="220"/>
      <c r="C73" s="121" t="s">
        <v>421</v>
      </c>
      <c r="D73" s="106">
        <f t="shared" ref="D73:G73" si="37">D72/(D69+D70/2)</f>
        <v>0.18285714285714286</v>
      </c>
      <c r="E73" s="106">
        <f t="shared" si="37"/>
        <v>0.19680851063829788</v>
      </c>
      <c r="F73" s="106">
        <f t="shared" si="37"/>
        <v>0.32840722495894908</v>
      </c>
      <c r="G73" s="106">
        <f t="shared" si="37"/>
        <v>0.50912408759124084</v>
      </c>
      <c r="H73" s="106">
        <f t="shared" ref="H73" si="38">H72/(H69+H70/2)</f>
        <v>0.29547553093259465</v>
      </c>
      <c r="I73" s="122">
        <v>0.25</v>
      </c>
      <c r="J73" s="122">
        <f>I73</f>
        <v>0.25</v>
      </c>
      <c r="K73" s="122">
        <f t="shared" ref="K73:M73" si="39">J73</f>
        <v>0.25</v>
      </c>
      <c r="L73" s="122">
        <f t="shared" si="39"/>
        <v>0.25</v>
      </c>
      <c r="M73" s="122">
        <f t="shared" si="39"/>
        <v>0.25</v>
      </c>
      <c r="N73" s="188"/>
    </row>
    <row r="74" spans="2:18" ht="24.95" customHeight="1">
      <c r="B74" s="188"/>
      <c r="C74" s="126"/>
      <c r="D74" s="347"/>
      <c r="E74" s="347"/>
      <c r="F74" s="347"/>
      <c r="G74" s="347"/>
      <c r="H74" s="347"/>
      <c r="I74" s="348"/>
      <c r="J74" s="348"/>
      <c r="K74" s="348"/>
      <c r="L74" s="348"/>
      <c r="M74" s="348"/>
      <c r="N74" s="188"/>
      <c r="P74" s="94"/>
    </row>
    <row r="75" spans="2:18" s="111" customFormat="1" ht="24.95" customHeight="1">
      <c r="B75" s="220"/>
      <c r="C75" s="118" t="s">
        <v>415</v>
      </c>
      <c r="D75" s="342">
        <f>资产负债表!C54</f>
        <v>1.41</v>
      </c>
      <c r="E75" s="342">
        <f>资产负债表!D54</f>
        <v>1.98</v>
      </c>
      <c r="F75" s="342">
        <f>资产负债表!E54</f>
        <v>3.11</v>
      </c>
      <c r="G75" s="342">
        <f>资产负债表!F54</f>
        <v>5.0599999999999996</v>
      </c>
      <c r="H75" s="342">
        <f>资产负债表!G54</f>
        <v>4.17</v>
      </c>
      <c r="I75" s="342">
        <f>I69+I70-I72</f>
        <v>5.3383333333333338</v>
      </c>
      <c r="J75" s="342">
        <f t="shared" ref="J75:M75" si="40">J69+J70-J72</f>
        <v>6.3906704129944742</v>
      </c>
      <c r="K75" s="342">
        <f t="shared" si="40"/>
        <v>7.5047343003175389</v>
      </c>
      <c r="L75" s="342">
        <f t="shared" si="40"/>
        <v>8.8105332194680681</v>
      </c>
      <c r="M75" s="342">
        <f t="shared" si="40"/>
        <v>10.4019340159774</v>
      </c>
      <c r="N75" s="188"/>
    </row>
    <row r="76" spans="2:18" s="60" customFormat="1" ht="6" customHeight="1"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59"/>
    </row>
    <row r="77" spans="2:18" s="60" customFormat="1" ht="13.5"/>
    <row r="78" spans="2:18" s="60" customFormat="1" ht="13.5">
      <c r="G78" s="116"/>
      <c r="H78" s="117"/>
    </row>
    <row r="79" spans="2:18" ht="6" customHeight="1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</row>
    <row r="80" spans="2:18" s="78" customFormat="1" ht="24.95" customHeight="1">
      <c r="B80" s="188"/>
      <c r="C80" s="286" t="s">
        <v>424</v>
      </c>
      <c r="D80" s="235">
        <v>2014</v>
      </c>
      <c r="E80" s="235">
        <v>2015</v>
      </c>
      <c r="F80" s="235">
        <v>2016</v>
      </c>
      <c r="G80" s="235">
        <v>2017</v>
      </c>
      <c r="H80" s="235">
        <v>2018</v>
      </c>
      <c r="I80" s="235" t="s">
        <v>24</v>
      </c>
      <c r="J80" s="235" t="s">
        <v>25</v>
      </c>
      <c r="K80" s="235" t="s">
        <v>26</v>
      </c>
      <c r="L80" s="235" t="s">
        <v>27</v>
      </c>
      <c r="M80" s="235" t="s">
        <v>28</v>
      </c>
      <c r="N80" s="228"/>
      <c r="O80" s="127"/>
    </row>
    <row r="81" spans="2:15" s="78" customFormat="1" ht="24.95" customHeight="1">
      <c r="B81" s="188"/>
      <c r="C81" s="113" t="s">
        <v>425</v>
      </c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228"/>
      <c r="O81" s="127"/>
    </row>
    <row r="82" spans="2:15" s="78" customFormat="1" ht="24.95" customHeight="1">
      <c r="B82" s="188"/>
      <c r="C82" s="113" t="s">
        <v>426</v>
      </c>
      <c r="D82" s="129">
        <f>IS!D7/BS!D22</f>
        <v>2.7027941798649815</v>
      </c>
      <c r="E82" s="129">
        <f>IS!E7/BS!E22</f>
        <v>2.6094118900111836</v>
      </c>
      <c r="F82" s="129">
        <f>IS!F7/BS!F22</f>
        <v>2.5136258586377349</v>
      </c>
      <c r="G82" s="129">
        <f>IS!G7/BS!G22</f>
        <v>2.4423919123565767</v>
      </c>
      <c r="H82" s="129">
        <f>IS!H7/BS!H22</f>
        <v>1.7637401409520066</v>
      </c>
      <c r="I82" s="129">
        <f>IS!I7/BS!I22</f>
        <v>2.0707568177751252</v>
      </c>
      <c r="J82" s="129">
        <f>IS!J7/BS!J22</f>
        <v>2.534678309656246</v>
      </c>
      <c r="K82" s="129">
        <f>IS!K7/BS!K22</f>
        <v>3.1898059739629909</v>
      </c>
      <c r="L82" s="129">
        <f>IS!L7/BS!L22</f>
        <v>4.0623513914256106</v>
      </c>
      <c r="M82" s="129">
        <f>IS!M7/BS!M22</f>
        <v>5.2353183239611347</v>
      </c>
      <c r="N82" s="228"/>
      <c r="O82" s="127"/>
    </row>
    <row r="83" spans="2:15" s="78" customFormat="1" ht="24.95" customHeight="1">
      <c r="B83" s="188"/>
      <c r="C83" s="113" t="s">
        <v>427</v>
      </c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228"/>
      <c r="O83" s="127"/>
    </row>
    <row r="84" spans="2:15" s="78" customFormat="1" ht="24.95" customHeight="1">
      <c r="B84" s="188"/>
      <c r="C84" s="113" t="s">
        <v>428</v>
      </c>
      <c r="D84" s="129">
        <f>IS!D7/BS!D25</f>
        <v>17.877114004136757</v>
      </c>
      <c r="E84" s="129">
        <f>IS!E7/BS!E25</f>
        <v>18.376797099637457</v>
      </c>
      <c r="F84" s="129">
        <f>IS!F7/BS!F25</f>
        <v>7.4498882176663663</v>
      </c>
      <c r="G84" s="129">
        <f>IS!G7/BS!G25</f>
        <v>8.508555133079847</v>
      </c>
      <c r="H84" s="129">
        <f>IS!H7/BS!H25</f>
        <v>9.5978223885675398</v>
      </c>
      <c r="I84" s="129">
        <f>IS!I7/BS!I25</f>
        <v>10.964518488767245</v>
      </c>
      <c r="J84" s="129">
        <f>IS!J7/BS!J25</f>
        <v>13.127088692955295</v>
      </c>
      <c r="K84" s="129">
        <f>IS!K7/BS!K25</f>
        <v>16.179106460512369</v>
      </c>
      <c r="L84" s="129">
        <f>IS!L7/BS!L25</f>
        <v>20.20769248863034</v>
      </c>
      <c r="M84" s="129">
        <f>IS!M7/BS!M25</f>
        <v>25.57869864681831</v>
      </c>
      <c r="N84" s="228"/>
      <c r="O84" s="127"/>
    </row>
    <row r="85" spans="2:15" s="78" customFormat="1" ht="24.95" customHeight="1">
      <c r="B85" s="188"/>
      <c r="C85" s="113" t="s">
        <v>429</v>
      </c>
      <c r="D85" s="129">
        <f>IS!D7/BS!D28</f>
        <v>1042.0709219858156</v>
      </c>
      <c r="E85" s="129">
        <f>IS!E7/BS!E28</f>
        <v>742.40404040404042</v>
      </c>
      <c r="F85" s="129">
        <f>IS!F7/BS!F28</f>
        <v>503.59807073954988</v>
      </c>
      <c r="G85" s="129">
        <f>IS!G7/BS!G28</f>
        <v>353.79446640316212</v>
      </c>
      <c r="H85" s="129">
        <f>IS!H7/BS!H28</f>
        <v>473.51558752997602</v>
      </c>
      <c r="I85" s="129">
        <f>IS!I7/BS!I28</f>
        <v>417.83762622787373</v>
      </c>
      <c r="J85" s="129">
        <f>IS!J7/BS!J28</f>
        <v>413.98121519034396</v>
      </c>
      <c r="K85" s="129">
        <f>IS!K7/BS!K28</f>
        <v>431.2856646325842</v>
      </c>
      <c r="L85" s="129">
        <f>IS!L7/BS!L28</f>
        <v>456.39598569827479</v>
      </c>
      <c r="M85" s="129">
        <f>IS!M7/BS!M28</f>
        <v>487.76172485326276</v>
      </c>
      <c r="N85" s="228"/>
      <c r="O85" s="127"/>
    </row>
    <row r="86" spans="2:15" s="78" customFormat="1" ht="6" customHeight="1">
      <c r="B86" s="188"/>
      <c r="C86" s="188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28"/>
      <c r="O86" s="127"/>
    </row>
    <row r="87" spans="2:15" s="60" customFormat="1" ht="13.5">
      <c r="G87" s="116"/>
    </row>
    <row r="88" spans="2:15" s="60" customFormat="1" ht="13.5">
      <c r="G88" s="116"/>
      <c r="H88" s="117"/>
    </row>
    <row r="89" spans="2:15" s="78" customFormat="1" ht="6" customHeight="1">
      <c r="B89" s="188"/>
      <c r="C89" s="188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8"/>
      <c r="O89" s="127"/>
    </row>
    <row r="90" spans="2:15" ht="24.95" customHeight="1">
      <c r="B90" s="188"/>
      <c r="C90" s="286" t="s">
        <v>430</v>
      </c>
      <c r="D90" s="235">
        <v>2014</v>
      </c>
      <c r="E90" s="235">
        <v>2015</v>
      </c>
      <c r="F90" s="235">
        <v>2016</v>
      </c>
      <c r="G90" s="235">
        <v>2017</v>
      </c>
      <c r="H90" s="235">
        <v>2018</v>
      </c>
      <c r="I90" s="235" t="s">
        <v>24</v>
      </c>
      <c r="J90" s="235" t="s">
        <v>25</v>
      </c>
      <c r="K90" s="235" t="s">
        <v>26</v>
      </c>
      <c r="L90" s="235" t="s">
        <v>27</v>
      </c>
      <c r="M90" s="235" t="s">
        <v>28</v>
      </c>
      <c r="N90" s="188"/>
    </row>
    <row r="91" spans="2:15" ht="24.95" customHeight="1">
      <c r="B91" s="188"/>
      <c r="C91" s="126" t="s">
        <v>431</v>
      </c>
      <c r="D91" s="339">
        <f>D22</f>
        <v>3.42</v>
      </c>
      <c r="E91" s="339">
        <f t="shared" ref="E91:M91" si="41">E22</f>
        <v>2.27</v>
      </c>
      <c r="F91" s="339">
        <f t="shared" si="41"/>
        <v>2.2200000000000002</v>
      </c>
      <c r="G91" s="339">
        <f t="shared" si="41"/>
        <v>1.88</v>
      </c>
      <c r="H91" s="339">
        <f t="shared" si="41"/>
        <v>2.34</v>
      </c>
      <c r="I91" s="339">
        <f t="shared" si="41"/>
        <v>2.9813539854505562</v>
      </c>
      <c r="J91" s="339">
        <f t="shared" si="41"/>
        <v>2.8879884861430907</v>
      </c>
      <c r="K91" s="339">
        <f t="shared" si="41"/>
        <v>2.7985165486835983</v>
      </c>
      <c r="L91" s="339">
        <f t="shared" si="41"/>
        <v>2.7127758023465276</v>
      </c>
      <c r="M91" s="339">
        <f t="shared" si="41"/>
        <v>2.6306106476490982</v>
      </c>
      <c r="N91" s="188"/>
    </row>
    <row r="92" spans="2:15" ht="24.95" customHeight="1">
      <c r="B92" s="188"/>
      <c r="C92" s="126" t="s">
        <v>432</v>
      </c>
      <c r="D92" s="339">
        <f t="shared" ref="D92:M92" si="42">D34</f>
        <v>41.38</v>
      </c>
      <c r="E92" s="339">
        <f t="shared" si="42"/>
        <v>44.98</v>
      </c>
      <c r="F92" s="339">
        <f t="shared" si="42"/>
        <v>47.58</v>
      </c>
      <c r="G92" s="339">
        <f t="shared" si="42"/>
        <v>52.55</v>
      </c>
      <c r="H92" s="339">
        <f t="shared" si="42"/>
        <v>54.82</v>
      </c>
      <c r="I92" s="339">
        <f t="shared" si="42"/>
        <v>82.030286556921496</v>
      </c>
      <c r="J92" s="339">
        <f t="shared" si="42"/>
        <v>79.20116365372489</v>
      </c>
      <c r="K92" s="339">
        <f t="shared" si="42"/>
        <v>76.868249442856637</v>
      </c>
      <c r="L92" s="339">
        <f t="shared" si="42"/>
        <v>74.85455143491393</v>
      </c>
      <c r="M92" s="339">
        <f t="shared" si="42"/>
        <v>73.152714755740064</v>
      </c>
      <c r="N92" s="188"/>
    </row>
    <row r="93" spans="2:15" ht="24.95" customHeight="1">
      <c r="B93" s="188"/>
      <c r="C93" s="126" t="s">
        <v>433</v>
      </c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188"/>
    </row>
    <row r="94" spans="2:15" ht="24.95" customHeight="1">
      <c r="B94" s="188"/>
      <c r="C94" s="126" t="s">
        <v>434</v>
      </c>
      <c r="D94" s="339">
        <f t="shared" ref="D94:M94" si="43">D59</f>
        <v>2.2200000000000002</v>
      </c>
      <c r="E94" s="339">
        <f t="shared" si="43"/>
        <v>2.2200000000000002</v>
      </c>
      <c r="F94" s="339">
        <f t="shared" si="43"/>
        <v>5.48</v>
      </c>
      <c r="G94" s="339">
        <f t="shared" si="43"/>
        <v>7.2</v>
      </c>
      <c r="H94" s="339">
        <f t="shared" si="43"/>
        <v>9.3699999999999992</v>
      </c>
      <c r="I94" s="339">
        <f t="shared" si="43"/>
        <v>6.9959385500368292</v>
      </c>
      <c r="J94" s="339">
        <f t="shared" si="43"/>
        <v>6.924276626165061</v>
      </c>
      <c r="K94" s="339">
        <f t="shared" si="43"/>
        <v>6.8664726628428427</v>
      </c>
      <c r="L94" s="339">
        <f t="shared" si="43"/>
        <v>6.8228621372935576</v>
      </c>
      <c r="M94" s="339">
        <f t="shared" si="43"/>
        <v>6.793825345607547</v>
      </c>
      <c r="N94" s="188"/>
    </row>
    <row r="95" spans="2:15" ht="24.95" customHeight="1">
      <c r="B95" s="188"/>
      <c r="C95" s="126" t="s">
        <v>435</v>
      </c>
      <c r="D95" s="339">
        <f t="shared" ref="D95:G95" si="44">D72</f>
        <v>0.16</v>
      </c>
      <c r="E95" s="339">
        <f t="shared" si="44"/>
        <v>0.37</v>
      </c>
      <c r="F95" s="339">
        <f t="shared" si="44"/>
        <v>1</v>
      </c>
      <c r="G95" s="339">
        <f t="shared" si="44"/>
        <v>2.79</v>
      </c>
      <c r="H95" s="339">
        <f t="shared" ref="H95:M95" si="45">H72</f>
        <v>1.6</v>
      </c>
      <c r="I95" s="339">
        <f t="shared" si="45"/>
        <v>1.3583333333333334</v>
      </c>
      <c r="J95" s="339">
        <f t="shared" si="45"/>
        <v>1.6755719637611155</v>
      </c>
      <c r="K95" s="339">
        <f t="shared" si="45"/>
        <v>1.9850578161874304</v>
      </c>
      <c r="L95" s="339">
        <f t="shared" si="45"/>
        <v>2.330752502826515</v>
      </c>
      <c r="M95" s="339">
        <f t="shared" si="45"/>
        <v>2.7446381764922094</v>
      </c>
      <c r="N95" s="188"/>
    </row>
    <row r="96" spans="2:15" ht="24.95" customHeight="1">
      <c r="B96" s="188"/>
      <c r="C96" s="126" t="s">
        <v>436</v>
      </c>
      <c r="D96" s="339">
        <f t="shared" ref="D96:M96" si="46">SUM(D91:D95)</f>
        <v>47.18</v>
      </c>
      <c r="E96" s="339">
        <f t="shared" si="46"/>
        <v>49.839999999999996</v>
      </c>
      <c r="F96" s="339">
        <f t="shared" si="46"/>
        <v>56.28</v>
      </c>
      <c r="G96" s="339">
        <f t="shared" si="46"/>
        <v>64.42</v>
      </c>
      <c r="H96" s="339">
        <f t="shared" si="46"/>
        <v>68.13</v>
      </c>
      <c r="I96" s="339">
        <f t="shared" si="46"/>
        <v>93.365912425742209</v>
      </c>
      <c r="J96" s="339">
        <f t="shared" si="46"/>
        <v>90.689000729794159</v>
      </c>
      <c r="K96" s="339">
        <f t="shared" si="46"/>
        <v>88.518296470570505</v>
      </c>
      <c r="L96" s="339">
        <f t="shared" si="46"/>
        <v>86.720941877380525</v>
      </c>
      <c r="M96" s="339">
        <f t="shared" si="46"/>
        <v>85.321788925488903</v>
      </c>
      <c r="N96" s="188"/>
    </row>
    <row r="97" spans="1:15" ht="6" customHeight="1">
      <c r="A97" s="7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</row>
    <row r="98" spans="1:15">
      <c r="A98" s="78"/>
      <c r="B98" s="78"/>
      <c r="M98" s="78"/>
      <c r="N98" s="78"/>
      <c r="O98" s="78"/>
    </row>
    <row r="99" spans="1:15">
      <c r="A99" s="78"/>
      <c r="B99" s="78"/>
      <c r="M99" s="78"/>
      <c r="N99" s="78"/>
      <c r="O99" s="78"/>
    </row>
    <row r="100" spans="1:15">
      <c r="A100" s="78"/>
      <c r="B100" s="78"/>
      <c r="M100" s="78"/>
      <c r="N100" s="78"/>
      <c r="O100" s="78"/>
    </row>
    <row r="101" spans="1:15">
      <c r="A101" s="78"/>
      <c r="B101" s="78"/>
      <c r="M101" s="78"/>
      <c r="N101" s="78"/>
      <c r="O101" s="78"/>
    </row>
    <row r="102" spans="1:15">
      <c r="A102" s="78"/>
      <c r="B102" s="78"/>
      <c r="M102" s="78"/>
      <c r="N102" s="78"/>
      <c r="O102" s="78"/>
    </row>
    <row r="103" spans="1:15">
      <c r="A103" s="78"/>
      <c r="B103" s="78"/>
      <c r="M103" s="78"/>
      <c r="N103" s="78"/>
      <c r="O103" s="78"/>
    </row>
    <row r="104" spans="1:15">
      <c r="A104" s="78"/>
      <c r="B104" s="78"/>
      <c r="M104" s="78"/>
      <c r="N104" s="78"/>
      <c r="O104" s="78"/>
    </row>
    <row r="105" spans="1:15">
      <c r="A105" s="78"/>
      <c r="B105" s="78"/>
      <c r="M105" s="78"/>
      <c r="N105" s="78"/>
      <c r="O105" s="78"/>
    </row>
    <row r="106" spans="1:15">
      <c r="A106" s="78"/>
      <c r="B106" s="78"/>
      <c r="M106" s="78"/>
      <c r="N106" s="78"/>
      <c r="O106" s="78"/>
    </row>
    <row r="107" spans="1:15">
      <c r="A107" s="78"/>
      <c r="B107" s="78"/>
      <c r="M107" s="78"/>
      <c r="N107" s="78"/>
      <c r="O107" s="78"/>
    </row>
    <row r="108" spans="1:15">
      <c r="A108" s="78"/>
      <c r="B108" s="78"/>
      <c r="M108" s="78"/>
      <c r="N108" s="78"/>
      <c r="O108" s="78"/>
    </row>
    <row r="109" spans="1:15">
      <c r="A109" s="78"/>
      <c r="B109" s="78"/>
      <c r="M109" s="78"/>
      <c r="N109" s="78"/>
      <c r="O109" s="78"/>
    </row>
    <row r="110" spans="1:15">
      <c r="A110" s="78"/>
      <c r="B110" s="78"/>
      <c r="M110" s="78"/>
      <c r="N110" s="78"/>
      <c r="O110" s="78"/>
    </row>
    <row r="111" spans="1:15">
      <c r="A111" s="78"/>
      <c r="B111" s="78"/>
      <c r="M111" s="78"/>
      <c r="N111" s="78"/>
      <c r="O111" s="78"/>
    </row>
    <row r="112" spans="1:15">
      <c r="A112" s="78"/>
      <c r="B112" s="78"/>
      <c r="M112" s="78"/>
      <c r="N112" s="78"/>
      <c r="O112" s="78"/>
    </row>
    <row r="113" spans="1:15">
      <c r="A113" s="78"/>
      <c r="B113" s="78"/>
      <c r="M113" s="78"/>
      <c r="N113" s="78"/>
      <c r="O113" s="78"/>
    </row>
    <row r="114" spans="1:15">
      <c r="A114" s="78"/>
      <c r="B114" s="78"/>
      <c r="M114" s="78"/>
      <c r="N114" s="78"/>
      <c r="O114" s="78"/>
    </row>
    <row r="115" spans="1:15">
      <c r="A115" s="78"/>
      <c r="B115" s="78"/>
      <c r="M115" s="78"/>
      <c r="N115" s="78"/>
      <c r="O115" s="78"/>
    </row>
    <row r="116" spans="1:15">
      <c r="A116" s="78"/>
      <c r="B116" s="78"/>
      <c r="M116" s="78"/>
      <c r="N116" s="78"/>
      <c r="O116" s="78"/>
    </row>
    <row r="117" spans="1:15">
      <c r="A117" s="78"/>
      <c r="B117" s="78"/>
      <c r="M117" s="78"/>
      <c r="N117" s="78"/>
      <c r="O117" s="78"/>
    </row>
    <row r="118" spans="1:15">
      <c r="A118" s="78"/>
      <c r="B118" s="78"/>
      <c r="M118" s="78"/>
      <c r="N118" s="78"/>
      <c r="O118" s="78"/>
    </row>
    <row r="119" spans="1:15">
      <c r="A119" s="78"/>
      <c r="B119" s="78"/>
      <c r="M119" s="78"/>
      <c r="N119" s="78"/>
      <c r="O119" s="78"/>
    </row>
    <row r="120" spans="1:15">
      <c r="A120" s="78"/>
      <c r="B120" s="78"/>
      <c r="M120" s="78"/>
      <c r="N120" s="78"/>
      <c r="O120" s="78"/>
    </row>
    <row r="121" spans="1:15">
      <c r="A121" s="78"/>
      <c r="B121" s="78"/>
      <c r="M121" s="78"/>
      <c r="N121" s="78"/>
      <c r="O121" s="78"/>
    </row>
    <row r="122" spans="1:15">
      <c r="A122" s="78"/>
      <c r="B122" s="78"/>
      <c r="M122" s="78"/>
      <c r="N122" s="78"/>
      <c r="O122" s="78"/>
    </row>
    <row r="123" spans="1:15">
      <c r="A123" s="78"/>
      <c r="B123" s="78"/>
      <c r="M123" s="78"/>
      <c r="N123" s="78"/>
      <c r="O123" s="78"/>
    </row>
    <row r="124" spans="1:15">
      <c r="A124" s="78"/>
      <c r="B124" s="78"/>
      <c r="M124" s="78"/>
      <c r="N124" s="78"/>
      <c r="O124" s="78"/>
    </row>
    <row r="125" spans="1:15">
      <c r="A125" s="78"/>
      <c r="B125" s="78"/>
      <c r="M125" s="78"/>
      <c r="N125" s="78"/>
      <c r="O125" s="78"/>
    </row>
    <row r="126" spans="1:15">
      <c r="A126" s="78"/>
      <c r="B126" s="78"/>
      <c r="M126" s="78"/>
      <c r="N126" s="78"/>
      <c r="O126" s="78"/>
    </row>
    <row r="127" spans="1:15">
      <c r="A127" s="78"/>
      <c r="B127" s="78"/>
      <c r="M127" s="78"/>
      <c r="N127" s="78"/>
      <c r="O127" s="78"/>
    </row>
    <row r="128" spans="1:15">
      <c r="A128" s="78"/>
      <c r="B128" s="78"/>
      <c r="M128" s="78"/>
      <c r="N128" s="78"/>
      <c r="O128" s="78"/>
    </row>
    <row r="129" spans="1:15">
      <c r="A129" s="78"/>
      <c r="B129" s="78"/>
      <c r="M129" s="78"/>
      <c r="N129" s="78"/>
      <c r="O129" s="78"/>
    </row>
    <row r="130" spans="1:15">
      <c r="A130" s="78"/>
      <c r="B130" s="78"/>
      <c r="M130" s="78"/>
      <c r="N130" s="78"/>
      <c r="O130" s="78"/>
    </row>
    <row r="131" spans="1:15">
      <c r="A131" s="78"/>
      <c r="B131" s="78"/>
      <c r="M131" s="78"/>
      <c r="N131" s="78"/>
      <c r="O131" s="78"/>
    </row>
    <row r="132" spans="1:15">
      <c r="A132" s="78"/>
      <c r="B132" s="78"/>
      <c r="M132" s="78"/>
      <c r="N132" s="78"/>
      <c r="O132" s="78"/>
    </row>
    <row r="133" spans="1:15">
      <c r="A133" s="78"/>
      <c r="B133" s="78"/>
      <c r="M133" s="78"/>
      <c r="N133" s="78"/>
      <c r="O133" s="78"/>
    </row>
    <row r="134" spans="1:15">
      <c r="A134" s="78"/>
      <c r="B134" s="78"/>
      <c r="M134" s="78"/>
      <c r="N134" s="78"/>
      <c r="O134" s="78"/>
    </row>
    <row r="135" spans="1:15">
      <c r="A135" s="78"/>
      <c r="B135" s="78"/>
      <c r="M135" s="78"/>
      <c r="N135" s="78"/>
      <c r="O135" s="78"/>
    </row>
    <row r="136" spans="1:15">
      <c r="A136" s="78"/>
      <c r="B136" s="78"/>
      <c r="M136" s="78"/>
      <c r="N136" s="78"/>
      <c r="O136" s="78"/>
    </row>
    <row r="137" spans="1:15">
      <c r="A137" s="78"/>
      <c r="B137" s="78"/>
      <c r="M137" s="78"/>
      <c r="N137" s="78"/>
      <c r="O137" s="78"/>
    </row>
    <row r="138" spans="1:15">
      <c r="A138" s="78"/>
      <c r="B138" s="78"/>
      <c r="M138" s="78"/>
      <c r="N138" s="78"/>
      <c r="O138" s="78"/>
    </row>
    <row r="139" spans="1:15">
      <c r="A139" s="78"/>
      <c r="B139" s="78"/>
      <c r="M139" s="78"/>
      <c r="N139" s="78"/>
      <c r="O139" s="78"/>
    </row>
    <row r="140" spans="1:15">
      <c r="A140" s="78"/>
      <c r="B140" s="78"/>
      <c r="M140" s="78"/>
      <c r="N140" s="78"/>
      <c r="O140" s="78"/>
    </row>
    <row r="141" spans="1:15">
      <c r="A141" s="78"/>
      <c r="B141" s="78"/>
      <c r="M141" s="78"/>
      <c r="N141" s="78"/>
      <c r="O141" s="78"/>
    </row>
    <row r="142" spans="1:15">
      <c r="A142" s="78"/>
      <c r="B142" s="78"/>
      <c r="M142" s="78"/>
      <c r="N142" s="78"/>
      <c r="O142" s="78"/>
    </row>
    <row r="143" spans="1:15">
      <c r="A143" s="78"/>
      <c r="B143" s="78"/>
      <c r="M143" s="78"/>
      <c r="N143" s="78"/>
      <c r="O143" s="78"/>
    </row>
    <row r="144" spans="1:15">
      <c r="A144" s="78"/>
      <c r="B144" s="78"/>
      <c r="M144" s="78"/>
      <c r="N144" s="78"/>
      <c r="O144" s="78"/>
    </row>
    <row r="145" spans="1:15">
      <c r="A145" s="78"/>
      <c r="B145" s="78"/>
      <c r="M145" s="78"/>
      <c r="N145" s="78"/>
      <c r="O145" s="78"/>
    </row>
    <row r="146" spans="1:15">
      <c r="A146" s="78"/>
      <c r="B146" s="78"/>
      <c r="M146" s="78"/>
      <c r="N146" s="78"/>
      <c r="O146" s="78"/>
    </row>
    <row r="147" spans="1:15">
      <c r="A147" s="78"/>
      <c r="B147" s="78"/>
      <c r="M147" s="78"/>
      <c r="N147" s="78"/>
      <c r="O147" s="78"/>
    </row>
    <row r="148" spans="1:15">
      <c r="A148" s="78"/>
      <c r="B148" s="78"/>
      <c r="M148" s="78"/>
      <c r="N148" s="78"/>
      <c r="O148" s="78"/>
    </row>
    <row r="149" spans="1:15">
      <c r="A149" s="78"/>
      <c r="B149" s="78"/>
      <c r="M149" s="78"/>
      <c r="N149" s="78"/>
      <c r="O149" s="78"/>
    </row>
    <row r="150" spans="1:15">
      <c r="A150" s="78"/>
      <c r="B150" s="78"/>
      <c r="M150" s="78"/>
      <c r="N150" s="78"/>
      <c r="O150" s="78"/>
    </row>
    <row r="151" spans="1:15">
      <c r="A151" s="78"/>
      <c r="B151" s="78"/>
      <c r="M151" s="78"/>
      <c r="N151" s="78"/>
      <c r="O151" s="78"/>
    </row>
    <row r="152" spans="1:15">
      <c r="A152" s="78"/>
      <c r="B152" s="78"/>
      <c r="M152" s="78"/>
      <c r="N152" s="78"/>
      <c r="O152" s="78"/>
    </row>
    <row r="153" spans="1:15">
      <c r="A153" s="78"/>
      <c r="B153" s="78"/>
      <c r="M153" s="78"/>
      <c r="N153" s="78"/>
      <c r="O153" s="78"/>
    </row>
    <row r="154" spans="1:15">
      <c r="A154" s="78"/>
      <c r="B154" s="78"/>
      <c r="M154" s="78"/>
      <c r="N154" s="78"/>
      <c r="O154" s="78"/>
    </row>
    <row r="155" spans="1:15">
      <c r="A155" s="78"/>
      <c r="B155" s="78"/>
      <c r="M155" s="78"/>
      <c r="N155" s="78"/>
      <c r="O155" s="78"/>
    </row>
    <row r="156" spans="1:15">
      <c r="A156" s="78"/>
      <c r="B156" s="78"/>
      <c r="M156" s="78"/>
      <c r="N156" s="78"/>
      <c r="O156" s="78"/>
    </row>
    <row r="157" spans="1:15">
      <c r="A157" s="78"/>
      <c r="B157" s="78"/>
      <c r="M157" s="78"/>
      <c r="N157" s="78"/>
      <c r="O157" s="78"/>
    </row>
    <row r="158" spans="1:15">
      <c r="A158" s="78"/>
      <c r="B158" s="78"/>
      <c r="M158" s="78"/>
      <c r="N158" s="78"/>
      <c r="O158" s="78"/>
    </row>
    <row r="159" spans="1:15">
      <c r="A159" s="78"/>
      <c r="B159" s="78"/>
      <c r="M159" s="78"/>
      <c r="N159" s="78"/>
      <c r="O159" s="78"/>
    </row>
    <row r="160" spans="1:15">
      <c r="A160" s="78"/>
      <c r="B160" s="78"/>
      <c r="M160" s="78"/>
      <c r="N160" s="78"/>
      <c r="O160" s="78"/>
    </row>
    <row r="161" spans="1:15">
      <c r="A161" s="78"/>
      <c r="B161" s="78"/>
      <c r="M161" s="78"/>
      <c r="N161" s="78"/>
      <c r="O161" s="78"/>
    </row>
    <row r="162" spans="1:15">
      <c r="A162" s="78"/>
      <c r="B162" s="78"/>
      <c r="M162" s="78"/>
      <c r="N162" s="78"/>
      <c r="O162" s="78"/>
    </row>
    <row r="163" spans="1:15">
      <c r="A163" s="78"/>
      <c r="B163" s="78"/>
      <c r="M163" s="78"/>
      <c r="N163" s="78"/>
      <c r="O163" s="78"/>
    </row>
    <row r="164" spans="1:15">
      <c r="A164" s="78"/>
      <c r="B164" s="78"/>
      <c r="M164" s="78"/>
      <c r="N164" s="78"/>
      <c r="O164" s="78"/>
    </row>
    <row r="165" spans="1:15">
      <c r="A165" s="78"/>
      <c r="B165" s="78"/>
      <c r="M165" s="78"/>
      <c r="N165" s="78"/>
      <c r="O165" s="78"/>
    </row>
    <row r="166" spans="1:15">
      <c r="A166" s="78"/>
      <c r="B166" s="78"/>
      <c r="M166" s="78"/>
      <c r="N166" s="78"/>
      <c r="O166" s="78"/>
    </row>
    <row r="167" spans="1:15">
      <c r="A167" s="78"/>
      <c r="B167" s="78"/>
      <c r="M167" s="78"/>
      <c r="N167" s="78"/>
      <c r="O167" s="78"/>
    </row>
    <row r="168" spans="1:15">
      <c r="A168" s="78"/>
      <c r="B168" s="78"/>
      <c r="M168" s="78"/>
      <c r="N168" s="78"/>
      <c r="O168" s="78"/>
    </row>
    <row r="169" spans="1:15">
      <c r="A169" s="78"/>
      <c r="B169" s="78"/>
      <c r="M169" s="78"/>
      <c r="N169" s="78"/>
      <c r="O169" s="78"/>
    </row>
    <row r="170" spans="1:15">
      <c r="A170" s="78"/>
      <c r="B170" s="78"/>
      <c r="M170" s="78"/>
      <c r="N170" s="78"/>
      <c r="O170" s="78"/>
    </row>
    <row r="171" spans="1:15">
      <c r="A171" s="78"/>
      <c r="B171" s="78"/>
      <c r="M171" s="78"/>
      <c r="N171" s="78"/>
      <c r="O171" s="78"/>
    </row>
    <row r="172" spans="1:15">
      <c r="A172" s="78"/>
      <c r="B172" s="78"/>
      <c r="M172" s="78"/>
      <c r="N172" s="78"/>
      <c r="O172" s="78"/>
    </row>
    <row r="173" spans="1:15">
      <c r="A173" s="78"/>
      <c r="B173" s="78"/>
      <c r="M173" s="78"/>
      <c r="N173" s="78"/>
      <c r="O173" s="78"/>
    </row>
    <row r="174" spans="1:15">
      <c r="A174" s="78"/>
      <c r="B174" s="78"/>
      <c r="M174" s="78"/>
      <c r="N174" s="78"/>
      <c r="O174" s="78"/>
    </row>
    <row r="175" spans="1:15">
      <c r="A175" s="78"/>
      <c r="B175" s="78"/>
      <c r="M175" s="78"/>
      <c r="N175" s="78"/>
      <c r="O175" s="78"/>
    </row>
    <row r="176" spans="1:15">
      <c r="A176" s="78"/>
      <c r="B176" s="78"/>
      <c r="M176" s="78"/>
      <c r="N176" s="78"/>
      <c r="O176" s="78"/>
    </row>
    <row r="177" spans="1:15">
      <c r="A177" s="78"/>
      <c r="B177" s="78"/>
      <c r="M177" s="78"/>
      <c r="N177" s="78"/>
      <c r="O177" s="78"/>
    </row>
    <row r="178" spans="1:15">
      <c r="A178" s="78"/>
      <c r="B178" s="78"/>
      <c r="M178" s="78"/>
      <c r="N178" s="78"/>
      <c r="O178" s="78"/>
    </row>
    <row r="179" spans="1:15">
      <c r="A179" s="78"/>
      <c r="B179" s="78"/>
      <c r="M179" s="78"/>
      <c r="N179" s="78"/>
      <c r="O179" s="78"/>
    </row>
    <row r="180" spans="1:15">
      <c r="A180" s="78"/>
      <c r="B180" s="78"/>
      <c r="M180" s="78"/>
      <c r="N180" s="78"/>
      <c r="O180" s="78"/>
    </row>
    <row r="181" spans="1:15">
      <c r="A181" s="78"/>
      <c r="B181" s="78"/>
      <c r="M181" s="78"/>
      <c r="N181" s="78"/>
      <c r="O181" s="78"/>
    </row>
    <row r="182" spans="1:15">
      <c r="A182" s="78"/>
      <c r="B182" s="78"/>
      <c r="M182" s="78"/>
      <c r="N182" s="78"/>
      <c r="O182" s="78"/>
    </row>
    <row r="183" spans="1:15">
      <c r="A183" s="78"/>
      <c r="B183" s="78"/>
      <c r="M183" s="78"/>
      <c r="N183" s="78"/>
      <c r="O183" s="78"/>
    </row>
    <row r="184" spans="1:15">
      <c r="A184" s="78"/>
      <c r="B184" s="78"/>
      <c r="M184" s="78"/>
      <c r="N184" s="78"/>
      <c r="O184" s="78"/>
    </row>
    <row r="185" spans="1:15">
      <c r="A185" s="78"/>
      <c r="B185" s="78"/>
      <c r="M185" s="78"/>
      <c r="N185" s="78"/>
      <c r="O185" s="78"/>
    </row>
    <row r="186" spans="1:15">
      <c r="A186" s="78"/>
      <c r="B186" s="78"/>
      <c r="M186" s="78"/>
      <c r="N186" s="78"/>
      <c r="O186" s="78"/>
    </row>
    <row r="187" spans="1:15">
      <c r="A187" s="78"/>
      <c r="B187" s="78"/>
      <c r="M187" s="78"/>
      <c r="N187" s="78"/>
      <c r="O187" s="78"/>
    </row>
    <row r="188" spans="1:15">
      <c r="A188" s="78"/>
      <c r="B188" s="78"/>
      <c r="M188" s="78"/>
      <c r="N188" s="78"/>
      <c r="O188" s="78"/>
    </row>
    <row r="189" spans="1:15">
      <c r="A189" s="78"/>
      <c r="B189" s="78"/>
      <c r="M189" s="78"/>
      <c r="N189" s="78"/>
      <c r="O189" s="78"/>
    </row>
    <row r="190" spans="1:15">
      <c r="A190" s="78"/>
      <c r="B190" s="78"/>
      <c r="M190" s="78"/>
      <c r="N190" s="78"/>
      <c r="O190" s="78"/>
    </row>
    <row r="191" spans="1:15">
      <c r="A191" s="78"/>
      <c r="B191" s="78"/>
      <c r="M191" s="78"/>
      <c r="N191" s="78"/>
      <c r="O191" s="78"/>
    </row>
    <row r="192" spans="1:15">
      <c r="A192" s="78"/>
      <c r="B192" s="78"/>
      <c r="M192" s="78"/>
      <c r="N192" s="78"/>
      <c r="O192" s="78"/>
    </row>
    <row r="193" spans="1:15">
      <c r="A193" s="78"/>
      <c r="B193" s="78"/>
      <c r="M193" s="78"/>
      <c r="N193" s="78"/>
      <c r="O193" s="78"/>
    </row>
    <row r="194" spans="1:15">
      <c r="A194" s="78"/>
      <c r="B194" s="78"/>
      <c r="M194" s="78"/>
      <c r="N194" s="78"/>
      <c r="O194" s="78"/>
    </row>
    <row r="195" spans="1:15">
      <c r="A195" s="78"/>
      <c r="B195" s="78"/>
      <c r="M195" s="78"/>
      <c r="N195" s="78"/>
      <c r="O195" s="78"/>
    </row>
    <row r="196" spans="1:15">
      <c r="A196" s="78"/>
      <c r="B196" s="78"/>
      <c r="M196" s="78"/>
      <c r="N196" s="78"/>
      <c r="O196" s="78"/>
    </row>
    <row r="197" spans="1:15">
      <c r="A197" s="78"/>
      <c r="B197" s="78"/>
      <c r="M197" s="78"/>
      <c r="N197" s="78"/>
      <c r="O197" s="78"/>
    </row>
    <row r="198" spans="1:15">
      <c r="A198" s="78"/>
      <c r="B198" s="78"/>
      <c r="M198" s="78"/>
      <c r="N198" s="78"/>
      <c r="O198" s="78"/>
    </row>
    <row r="199" spans="1:15">
      <c r="A199" s="78"/>
      <c r="B199" s="78"/>
      <c r="M199" s="78"/>
      <c r="N199" s="78"/>
      <c r="O199" s="78"/>
    </row>
    <row r="200" spans="1:15">
      <c r="A200" s="78"/>
      <c r="B200" s="78"/>
      <c r="M200" s="78"/>
      <c r="N200" s="78"/>
      <c r="O200" s="78"/>
    </row>
    <row r="201" spans="1:15">
      <c r="A201" s="78"/>
      <c r="B201" s="78"/>
      <c r="M201" s="78"/>
      <c r="N201" s="78"/>
      <c r="O201" s="78"/>
    </row>
    <row r="202" spans="1:15">
      <c r="A202" s="78"/>
      <c r="B202" s="78"/>
      <c r="M202" s="78"/>
      <c r="N202" s="78"/>
      <c r="O202" s="78"/>
    </row>
    <row r="203" spans="1:15">
      <c r="A203" s="78"/>
      <c r="B203" s="78"/>
      <c r="M203" s="78"/>
      <c r="N203" s="78"/>
      <c r="O203" s="78"/>
    </row>
    <row r="204" spans="1:15">
      <c r="A204" s="78"/>
      <c r="B204" s="78"/>
      <c r="M204" s="78"/>
      <c r="N204" s="78"/>
      <c r="O204" s="78"/>
    </row>
    <row r="205" spans="1:15">
      <c r="A205" s="78"/>
      <c r="B205" s="78"/>
      <c r="M205" s="78"/>
      <c r="N205" s="78"/>
      <c r="O205" s="78"/>
    </row>
    <row r="206" spans="1:15">
      <c r="A206" s="78"/>
      <c r="B206" s="78"/>
      <c r="M206" s="78"/>
      <c r="N206" s="78"/>
      <c r="O206" s="78"/>
    </row>
    <row r="207" spans="1:15">
      <c r="A207" s="78"/>
      <c r="B207" s="78"/>
      <c r="M207" s="78"/>
      <c r="N207" s="78"/>
      <c r="O207" s="78"/>
    </row>
    <row r="208" spans="1:15">
      <c r="A208" s="78"/>
      <c r="B208" s="78"/>
      <c r="M208" s="78"/>
      <c r="N208" s="78"/>
      <c r="O208" s="78"/>
    </row>
    <row r="209" spans="1:15">
      <c r="A209" s="78"/>
      <c r="B209" s="78"/>
      <c r="M209" s="78"/>
      <c r="N209" s="78"/>
      <c r="O209" s="78"/>
    </row>
    <row r="210" spans="1:15">
      <c r="A210" s="78"/>
      <c r="B210" s="78"/>
      <c r="M210" s="78"/>
      <c r="N210" s="78"/>
      <c r="O210" s="78"/>
    </row>
    <row r="211" spans="1:15">
      <c r="A211" s="78"/>
      <c r="B211" s="78"/>
      <c r="M211" s="78"/>
      <c r="N211" s="78"/>
      <c r="O211" s="78"/>
    </row>
    <row r="212" spans="1:15">
      <c r="A212" s="78"/>
      <c r="B212" s="78"/>
      <c r="M212" s="78"/>
      <c r="N212" s="78"/>
      <c r="O212" s="78"/>
    </row>
    <row r="213" spans="1:15">
      <c r="A213" s="78"/>
      <c r="B213" s="78"/>
      <c r="M213" s="78"/>
      <c r="N213" s="78"/>
      <c r="O213" s="78"/>
    </row>
    <row r="214" spans="1:15">
      <c r="A214" s="78"/>
      <c r="B214" s="78"/>
      <c r="M214" s="78"/>
      <c r="N214" s="78"/>
      <c r="O214" s="78"/>
    </row>
    <row r="215" spans="1:15">
      <c r="A215" s="78"/>
      <c r="B215" s="78"/>
      <c r="M215" s="78"/>
      <c r="N215" s="78"/>
      <c r="O215" s="78"/>
    </row>
    <row r="216" spans="1:15">
      <c r="A216" s="78"/>
      <c r="B216" s="78"/>
      <c r="M216" s="78"/>
      <c r="N216" s="78"/>
      <c r="O216" s="78"/>
    </row>
    <row r="217" spans="1:15">
      <c r="A217" s="78"/>
      <c r="B217" s="78"/>
      <c r="M217" s="78"/>
      <c r="N217" s="78"/>
      <c r="O217" s="78"/>
    </row>
    <row r="218" spans="1:15">
      <c r="A218" s="78"/>
      <c r="B218" s="78"/>
      <c r="M218" s="78"/>
      <c r="N218" s="78"/>
      <c r="O218" s="78"/>
    </row>
    <row r="219" spans="1:15">
      <c r="A219" s="78"/>
      <c r="B219" s="78"/>
      <c r="M219" s="78"/>
      <c r="N219" s="78"/>
      <c r="O219" s="78"/>
    </row>
    <row r="220" spans="1:15">
      <c r="A220" s="78"/>
      <c r="B220" s="78"/>
      <c r="M220" s="78"/>
      <c r="N220" s="78"/>
      <c r="O220" s="78"/>
    </row>
    <row r="221" spans="1:15">
      <c r="A221" s="78"/>
      <c r="B221" s="78"/>
      <c r="M221" s="78"/>
      <c r="N221" s="78"/>
      <c r="O221" s="78"/>
    </row>
    <row r="222" spans="1:15">
      <c r="A222" s="78"/>
      <c r="B222" s="78"/>
      <c r="M222" s="78"/>
      <c r="N222" s="78"/>
      <c r="O222" s="78"/>
    </row>
    <row r="223" spans="1:15">
      <c r="A223" s="78"/>
      <c r="B223" s="78"/>
      <c r="M223" s="78"/>
      <c r="N223" s="78"/>
      <c r="O223" s="78"/>
    </row>
    <row r="224" spans="1:15">
      <c r="A224" s="78"/>
      <c r="B224" s="78"/>
      <c r="M224" s="78"/>
      <c r="N224" s="78"/>
      <c r="O224" s="78"/>
    </row>
    <row r="225" spans="1:15">
      <c r="A225" s="78"/>
      <c r="B225" s="78"/>
      <c r="M225" s="78"/>
      <c r="N225" s="78"/>
      <c r="O225" s="78"/>
    </row>
    <row r="226" spans="1:15">
      <c r="A226" s="78"/>
      <c r="B226" s="78"/>
      <c r="M226" s="78"/>
      <c r="N226" s="78"/>
      <c r="O226" s="78"/>
    </row>
    <row r="227" spans="1:15">
      <c r="A227" s="78"/>
      <c r="B227" s="78"/>
      <c r="M227" s="78"/>
      <c r="N227" s="78"/>
      <c r="O227" s="78"/>
    </row>
    <row r="228" spans="1:15">
      <c r="A228" s="78"/>
      <c r="B228" s="78"/>
      <c r="M228" s="78"/>
      <c r="N228" s="78"/>
      <c r="O228" s="78"/>
    </row>
    <row r="229" spans="1:15">
      <c r="A229" s="78"/>
      <c r="B229" s="78"/>
      <c r="M229" s="78"/>
      <c r="N229" s="78"/>
      <c r="O229" s="78"/>
    </row>
    <row r="230" spans="1:15">
      <c r="A230" s="78"/>
      <c r="B230" s="78"/>
      <c r="M230" s="78"/>
      <c r="N230" s="78"/>
      <c r="O230" s="78"/>
    </row>
    <row r="231" spans="1:15">
      <c r="A231" s="78"/>
      <c r="B231" s="78"/>
      <c r="M231" s="78"/>
      <c r="N231" s="78"/>
      <c r="O231" s="78"/>
    </row>
    <row r="232" spans="1:15">
      <c r="A232" s="78"/>
      <c r="B232" s="78"/>
      <c r="M232" s="78"/>
      <c r="N232" s="78"/>
      <c r="O232" s="78"/>
    </row>
    <row r="233" spans="1:15">
      <c r="A233" s="78"/>
      <c r="B233" s="78"/>
      <c r="M233" s="78"/>
      <c r="N233" s="78"/>
      <c r="O233" s="78"/>
    </row>
    <row r="234" spans="1:15">
      <c r="A234" s="78"/>
      <c r="B234" s="78"/>
      <c r="M234" s="78"/>
      <c r="N234" s="78"/>
      <c r="O234" s="78"/>
    </row>
    <row r="235" spans="1:15">
      <c r="A235" s="78"/>
      <c r="B235" s="78"/>
      <c r="M235" s="78"/>
      <c r="N235" s="78"/>
      <c r="O235" s="78"/>
    </row>
    <row r="236" spans="1:15">
      <c r="A236" s="78"/>
      <c r="B236" s="78"/>
      <c r="M236" s="78"/>
      <c r="N236" s="78"/>
      <c r="O236" s="78"/>
    </row>
    <row r="237" spans="1:15">
      <c r="A237" s="78"/>
      <c r="B237" s="78"/>
      <c r="M237" s="78"/>
      <c r="N237" s="78"/>
      <c r="O237" s="78"/>
    </row>
    <row r="238" spans="1:15">
      <c r="A238" s="78"/>
      <c r="B238" s="78"/>
      <c r="M238" s="78"/>
      <c r="N238" s="78"/>
      <c r="O238" s="78"/>
    </row>
    <row r="239" spans="1:15">
      <c r="A239" s="78"/>
      <c r="B239" s="78"/>
      <c r="M239" s="78"/>
      <c r="N239" s="78"/>
      <c r="O239" s="78"/>
    </row>
    <row r="240" spans="1:15">
      <c r="A240" s="78"/>
      <c r="B240" s="78"/>
      <c r="M240" s="78"/>
      <c r="N240" s="78"/>
      <c r="O240" s="78"/>
    </row>
    <row r="241" spans="1:15">
      <c r="A241" s="78"/>
      <c r="B241" s="78"/>
      <c r="M241" s="78"/>
      <c r="N241" s="78"/>
      <c r="O241" s="78"/>
    </row>
    <row r="242" spans="1:15">
      <c r="A242" s="78"/>
      <c r="B242" s="78"/>
      <c r="M242" s="78"/>
      <c r="N242" s="78"/>
      <c r="O242" s="78"/>
    </row>
    <row r="243" spans="1:15">
      <c r="A243" s="78"/>
      <c r="B243" s="78"/>
      <c r="M243" s="78"/>
      <c r="N243" s="78"/>
      <c r="O243" s="78"/>
    </row>
    <row r="244" spans="1:15">
      <c r="A244" s="78"/>
      <c r="B244" s="78"/>
      <c r="M244" s="78"/>
      <c r="N244" s="78"/>
      <c r="O244" s="78"/>
    </row>
    <row r="245" spans="1:15">
      <c r="A245" s="78"/>
      <c r="B245" s="78"/>
      <c r="M245" s="78"/>
      <c r="N245" s="78"/>
      <c r="O245" s="78"/>
    </row>
    <row r="246" spans="1:15">
      <c r="A246" s="78"/>
      <c r="B246" s="78"/>
      <c r="M246" s="78"/>
      <c r="N246" s="78"/>
      <c r="O246" s="78"/>
    </row>
    <row r="247" spans="1:15">
      <c r="A247" s="78"/>
      <c r="B247" s="78"/>
      <c r="M247" s="78"/>
      <c r="N247" s="78"/>
      <c r="O247" s="78"/>
    </row>
    <row r="248" spans="1:15">
      <c r="A248" s="78"/>
      <c r="B248" s="78"/>
      <c r="M248" s="78"/>
      <c r="N248" s="78"/>
      <c r="O248" s="78"/>
    </row>
    <row r="249" spans="1:15">
      <c r="A249" s="78"/>
      <c r="B249" s="78"/>
      <c r="M249" s="78"/>
      <c r="N249" s="78"/>
      <c r="O249" s="78"/>
    </row>
    <row r="250" spans="1:15">
      <c r="A250" s="78"/>
      <c r="B250" s="78"/>
      <c r="M250" s="78"/>
      <c r="N250" s="78"/>
      <c r="O250" s="78"/>
    </row>
    <row r="251" spans="1:15">
      <c r="A251" s="78"/>
      <c r="B251" s="78"/>
      <c r="M251" s="78"/>
      <c r="N251" s="78"/>
      <c r="O251" s="78"/>
    </row>
    <row r="252" spans="1:15">
      <c r="A252" s="78"/>
      <c r="B252" s="78"/>
      <c r="M252" s="78"/>
      <c r="N252" s="78"/>
      <c r="O252" s="78"/>
    </row>
    <row r="253" spans="1:15">
      <c r="A253" s="78"/>
      <c r="B253" s="78"/>
      <c r="M253" s="78"/>
      <c r="N253" s="78"/>
      <c r="O253" s="78"/>
    </row>
    <row r="254" spans="1:15">
      <c r="A254" s="78"/>
      <c r="B254" s="78"/>
      <c r="M254" s="78"/>
      <c r="N254" s="78"/>
      <c r="O254" s="78"/>
    </row>
    <row r="255" spans="1:15">
      <c r="A255" s="78"/>
      <c r="B255" s="78"/>
      <c r="M255" s="78"/>
      <c r="N255" s="78"/>
      <c r="O255" s="78"/>
    </row>
    <row r="256" spans="1:15">
      <c r="A256" s="78"/>
      <c r="B256" s="78"/>
      <c r="M256" s="78"/>
      <c r="N256" s="78"/>
      <c r="O256" s="78"/>
    </row>
    <row r="257" spans="1:15">
      <c r="A257" s="78"/>
      <c r="B257" s="78"/>
      <c r="M257" s="78"/>
      <c r="N257" s="78"/>
      <c r="O257" s="78"/>
    </row>
    <row r="258" spans="1:15">
      <c r="A258" s="78"/>
      <c r="B258" s="78"/>
      <c r="M258" s="78"/>
      <c r="N258" s="78"/>
      <c r="O258" s="78"/>
    </row>
    <row r="259" spans="1:15">
      <c r="A259" s="78"/>
      <c r="B259" s="78"/>
      <c r="M259" s="78"/>
      <c r="N259" s="78"/>
      <c r="O259" s="78"/>
    </row>
    <row r="260" spans="1:15">
      <c r="A260" s="78"/>
      <c r="B260" s="78"/>
      <c r="M260" s="78"/>
      <c r="N260" s="78"/>
      <c r="O260" s="78"/>
    </row>
    <row r="261" spans="1:15">
      <c r="A261" s="78"/>
      <c r="B261" s="78"/>
      <c r="M261" s="78"/>
      <c r="N261" s="78"/>
      <c r="O261" s="78"/>
    </row>
    <row r="262" spans="1:15">
      <c r="A262" s="78"/>
      <c r="B262" s="78"/>
      <c r="M262" s="78"/>
      <c r="N262" s="78"/>
      <c r="O262" s="78"/>
    </row>
    <row r="263" spans="1:15">
      <c r="A263" s="78"/>
      <c r="B263" s="78"/>
      <c r="M263" s="78"/>
      <c r="N263" s="78"/>
      <c r="O263" s="78"/>
    </row>
    <row r="264" spans="1:15">
      <c r="A264" s="78"/>
      <c r="B264" s="78"/>
      <c r="M264" s="78"/>
      <c r="N264" s="78"/>
      <c r="O264" s="78"/>
    </row>
    <row r="265" spans="1:15">
      <c r="A265" s="78"/>
      <c r="B265" s="78"/>
      <c r="M265" s="78"/>
      <c r="N265" s="78"/>
      <c r="O265" s="78"/>
    </row>
    <row r="266" spans="1:15">
      <c r="A266" s="78"/>
      <c r="B266" s="78"/>
      <c r="M266" s="78"/>
      <c r="N266" s="78"/>
      <c r="O266" s="78"/>
    </row>
    <row r="267" spans="1:15">
      <c r="A267" s="78"/>
      <c r="B267" s="78"/>
      <c r="M267" s="78"/>
      <c r="N267" s="78"/>
      <c r="O267" s="78"/>
    </row>
    <row r="268" spans="1:15">
      <c r="A268" s="78"/>
      <c r="B268" s="78"/>
      <c r="M268" s="78"/>
      <c r="N268" s="78"/>
      <c r="O268" s="78"/>
    </row>
    <row r="269" spans="1:15">
      <c r="A269" s="78"/>
      <c r="B269" s="78"/>
      <c r="M269" s="78"/>
      <c r="N269" s="78"/>
      <c r="O269" s="78"/>
    </row>
    <row r="270" spans="1:15">
      <c r="A270" s="78"/>
      <c r="B270" s="78"/>
      <c r="M270" s="78"/>
      <c r="N270" s="78"/>
      <c r="O270" s="78"/>
    </row>
    <row r="271" spans="1:15">
      <c r="A271" s="78"/>
      <c r="B271" s="78"/>
      <c r="M271" s="78"/>
      <c r="N271" s="78"/>
      <c r="O271" s="78"/>
    </row>
    <row r="272" spans="1:15">
      <c r="A272" s="78"/>
      <c r="B272" s="78"/>
      <c r="M272" s="78"/>
      <c r="N272" s="78"/>
      <c r="O272" s="78"/>
    </row>
    <row r="273" spans="1:15">
      <c r="A273" s="78"/>
      <c r="B273" s="78"/>
      <c r="M273" s="78"/>
      <c r="N273" s="78"/>
      <c r="O273" s="78"/>
    </row>
    <row r="274" spans="1:15">
      <c r="A274" s="78"/>
      <c r="B274" s="78"/>
      <c r="M274" s="78"/>
      <c r="N274" s="78"/>
      <c r="O274" s="78"/>
    </row>
    <row r="275" spans="1:15">
      <c r="A275" s="78"/>
      <c r="B275" s="78"/>
      <c r="M275" s="78"/>
      <c r="N275" s="78"/>
      <c r="O275" s="78"/>
    </row>
    <row r="276" spans="1:15">
      <c r="A276" s="78"/>
      <c r="B276" s="78"/>
      <c r="M276" s="78"/>
      <c r="N276" s="78"/>
      <c r="O276" s="78"/>
    </row>
    <row r="277" spans="1:15">
      <c r="A277" s="78"/>
      <c r="B277" s="78"/>
      <c r="M277" s="78"/>
      <c r="N277" s="78"/>
      <c r="O277" s="78"/>
    </row>
    <row r="278" spans="1:15">
      <c r="A278" s="78"/>
      <c r="B278" s="78"/>
      <c r="M278" s="78"/>
      <c r="N278" s="78"/>
      <c r="O278" s="78"/>
    </row>
    <row r="279" spans="1:15">
      <c r="A279" s="78"/>
      <c r="B279" s="78"/>
      <c r="M279" s="78"/>
      <c r="N279" s="78"/>
      <c r="O279" s="78"/>
    </row>
    <row r="280" spans="1:15">
      <c r="A280" s="78"/>
      <c r="B280" s="78"/>
      <c r="M280" s="78"/>
      <c r="N280" s="78"/>
      <c r="O280" s="78"/>
    </row>
    <row r="281" spans="1:15">
      <c r="A281" s="78"/>
      <c r="B281" s="78"/>
      <c r="M281" s="78"/>
      <c r="N281" s="78"/>
      <c r="O281" s="78"/>
    </row>
    <row r="282" spans="1:15">
      <c r="A282" s="78"/>
      <c r="B282" s="78"/>
      <c r="M282" s="78"/>
      <c r="N282" s="78"/>
      <c r="O282" s="78"/>
    </row>
    <row r="283" spans="1:15">
      <c r="A283" s="78"/>
      <c r="B283" s="78"/>
      <c r="M283" s="78"/>
      <c r="N283" s="78"/>
      <c r="O283" s="78"/>
    </row>
    <row r="284" spans="1:15">
      <c r="A284" s="78"/>
      <c r="B284" s="78"/>
      <c r="M284" s="78"/>
      <c r="N284" s="78"/>
      <c r="O284" s="78"/>
    </row>
    <row r="285" spans="1:15">
      <c r="A285" s="78"/>
      <c r="B285" s="78"/>
      <c r="M285" s="78"/>
      <c r="N285" s="78"/>
      <c r="O285" s="78"/>
    </row>
    <row r="286" spans="1:15">
      <c r="A286" s="78"/>
      <c r="B286" s="78"/>
      <c r="M286" s="78"/>
      <c r="N286" s="78"/>
      <c r="O286" s="78"/>
    </row>
    <row r="287" spans="1:15">
      <c r="A287" s="78"/>
      <c r="B287" s="78"/>
      <c r="M287" s="78"/>
      <c r="N287" s="78"/>
      <c r="O287" s="78"/>
    </row>
    <row r="288" spans="1:15">
      <c r="A288" s="78"/>
      <c r="B288" s="78"/>
      <c r="M288" s="78"/>
      <c r="N288" s="78"/>
      <c r="O288" s="78"/>
    </row>
    <row r="289" spans="1:15">
      <c r="A289" s="78"/>
      <c r="B289" s="78"/>
      <c r="M289" s="78"/>
      <c r="N289" s="78"/>
      <c r="O289" s="78"/>
    </row>
    <row r="290" spans="1:15">
      <c r="A290" s="78"/>
      <c r="B290" s="78"/>
      <c r="M290" s="78"/>
      <c r="N290" s="78"/>
      <c r="O290" s="78"/>
    </row>
    <row r="291" spans="1:15">
      <c r="A291" s="78"/>
      <c r="B291" s="78"/>
      <c r="M291" s="78"/>
      <c r="N291" s="78"/>
      <c r="O291" s="78"/>
    </row>
    <row r="292" spans="1:15">
      <c r="A292" s="78"/>
      <c r="B292" s="78"/>
      <c r="M292" s="78"/>
      <c r="N292" s="78"/>
      <c r="O292" s="78"/>
    </row>
    <row r="293" spans="1:15">
      <c r="A293" s="78"/>
      <c r="B293" s="78"/>
      <c r="M293" s="78"/>
      <c r="N293" s="78"/>
      <c r="O293" s="78"/>
    </row>
    <row r="294" spans="1:15">
      <c r="A294" s="78"/>
      <c r="B294" s="78"/>
      <c r="M294" s="78"/>
      <c r="N294" s="78"/>
      <c r="O294" s="78"/>
    </row>
    <row r="295" spans="1:15">
      <c r="A295" s="78"/>
      <c r="B295" s="78"/>
      <c r="M295" s="78"/>
      <c r="N295" s="78"/>
      <c r="O295" s="78"/>
    </row>
    <row r="296" spans="1:15">
      <c r="A296" s="78"/>
      <c r="B296" s="78"/>
      <c r="M296" s="78"/>
      <c r="N296" s="78"/>
      <c r="O296" s="78"/>
    </row>
    <row r="297" spans="1:15">
      <c r="A297" s="78"/>
      <c r="B297" s="78"/>
      <c r="M297" s="78"/>
      <c r="N297" s="78"/>
      <c r="O297" s="78"/>
    </row>
    <row r="298" spans="1:15">
      <c r="A298" s="78"/>
      <c r="B298" s="78"/>
      <c r="M298" s="78"/>
      <c r="N298" s="78"/>
      <c r="O298" s="78"/>
    </row>
    <row r="299" spans="1:15">
      <c r="A299" s="78"/>
      <c r="B299" s="78"/>
      <c r="M299" s="78"/>
      <c r="N299" s="78"/>
      <c r="O299" s="78"/>
    </row>
    <row r="300" spans="1:15">
      <c r="A300" s="78"/>
      <c r="B300" s="78"/>
      <c r="M300" s="78"/>
      <c r="N300" s="78"/>
      <c r="O300" s="78"/>
    </row>
    <row r="301" spans="1:15">
      <c r="A301" s="78"/>
      <c r="B301" s="78"/>
      <c r="M301" s="78"/>
      <c r="N301" s="78"/>
      <c r="O301" s="78"/>
    </row>
    <row r="302" spans="1:15">
      <c r="A302" s="78"/>
      <c r="B302" s="78"/>
      <c r="M302" s="78"/>
      <c r="N302" s="78"/>
      <c r="O302" s="78"/>
    </row>
    <row r="303" spans="1:15">
      <c r="A303" s="78"/>
      <c r="B303" s="78"/>
      <c r="M303" s="78"/>
      <c r="N303" s="78"/>
      <c r="O303" s="78"/>
    </row>
    <row r="304" spans="1:15">
      <c r="A304" s="78"/>
      <c r="B304" s="78"/>
      <c r="M304" s="78"/>
      <c r="N304" s="78"/>
      <c r="O304" s="78"/>
    </row>
    <row r="305" spans="1:15">
      <c r="A305" s="78"/>
      <c r="B305" s="78"/>
      <c r="M305" s="78"/>
      <c r="N305" s="78"/>
      <c r="O305" s="78"/>
    </row>
    <row r="306" spans="1:15">
      <c r="A306" s="78"/>
      <c r="B306" s="78"/>
      <c r="M306" s="78"/>
      <c r="N306" s="78"/>
      <c r="O306" s="78"/>
    </row>
    <row r="307" spans="1:15">
      <c r="A307" s="78"/>
      <c r="B307" s="78"/>
      <c r="M307" s="78"/>
      <c r="N307" s="78"/>
      <c r="O307" s="78"/>
    </row>
    <row r="308" spans="1:15">
      <c r="A308" s="78"/>
      <c r="B308" s="78"/>
      <c r="M308" s="78"/>
      <c r="N308" s="78"/>
      <c r="O308" s="78"/>
    </row>
    <row r="309" spans="1:15">
      <c r="A309" s="78"/>
      <c r="B309" s="78"/>
      <c r="M309" s="78"/>
      <c r="N309" s="78"/>
      <c r="O309" s="78"/>
    </row>
    <row r="310" spans="1:15">
      <c r="A310" s="78"/>
      <c r="B310" s="78"/>
      <c r="M310" s="78"/>
      <c r="N310" s="78"/>
      <c r="O310" s="78"/>
    </row>
    <row r="311" spans="1:15">
      <c r="A311" s="78"/>
      <c r="B311" s="78"/>
      <c r="M311" s="78"/>
      <c r="N311" s="78"/>
      <c r="O311" s="78"/>
    </row>
    <row r="312" spans="1:15">
      <c r="A312" s="78"/>
      <c r="B312" s="78"/>
      <c r="M312" s="78"/>
      <c r="N312" s="78"/>
      <c r="O312" s="78"/>
    </row>
    <row r="313" spans="1:15">
      <c r="A313" s="78"/>
      <c r="B313" s="78"/>
      <c r="M313" s="78"/>
      <c r="N313" s="78"/>
      <c r="O313" s="78"/>
    </row>
    <row r="314" spans="1:15">
      <c r="A314" s="78"/>
      <c r="B314" s="78"/>
      <c r="M314" s="78"/>
      <c r="N314" s="78"/>
      <c r="O314" s="78"/>
    </row>
    <row r="315" spans="1:15">
      <c r="A315" s="78"/>
      <c r="B315" s="78"/>
      <c r="M315" s="78"/>
      <c r="N315" s="78"/>
      <c r="O315" s="78"/>
    </row>
    <row r="316" spans="1:15">
      <c r="A316" s="78"/>
      <c r="B316" s="78"/>
      <c r="M316" s="78"/>
      <c r="N316" s="78"/>
      <c r="O316" s="78"/>
    </row>
    <row r="317" spans="1:15">
      <c r="A317" s="78"/>
      <c r="B317" s="78"/>
      <c r="M317" s="78"/>
      <c r="N317" s="78"/>
      <c r="O317" s="78"/>
    </row>
    <row r="318" spans="1:15">
      <c r="A318" s="78"/>
      <c r="B318" s="78"/>
      <c r="M318" s="78"/>
      <c r="N318" s="78"/>
      <c r="O318" s="78"/>
    </row>
    <row r="319" spans="1:15">
      <c r="A319" s="78"/>
      <c r="B319" s="78"/>
      <c r="M319" s="78"/>
      <c r="N319" s="78"/>
      <c r="O319" s="78"/>
    </row>
    <row r="320" spans="1:15">
      <c r="A320" s="78"/>
      <c r="B320" s="78"/>
      <c r="M320" s="78"/>
      <c r="N320" s="78"/>
      <c r="O320" s="78"/>
    </row>
    <row r="321" spans="1:15">
      <c r="A321" s="78"/>
      <c r="B321" s="78"/>
      <c r="M321" s="78"/>
      <c r="N321" s="78"/>
      <c r="O321" s="78"/>
    </row>
    <row r="322" spans="1:15">
      <c r="A322" s="78"/>
      <c r="B322" s="78"/>
      <c r="M322" s="78"/>
      <c r="N322" s="78"/>
      <c r="O322" s="78"/>
    </row>
    <row r="323" spans="1:15">
      <c r="A323" s="78"/>
      <c r="B323" s="78"/>
      <c r="M323" s="78"/>
      <c r="N323" s="78"/>
      <c r="O323" s="78"/>
    </row>
    <row r="324" spans="1:15">
      <c r="A324" s="78"/>
      <c r="B324" s="78"/>
      <c r="M324" s="78"/>
      <c r="N324" s="78"/>
      <c r="O324" s="78"/>
    </row>
    <row r="325" spans="1:15">
      <c r="A325" s="78"/>
      <c r="B325" s="78"/>
      <c r="M325" s="78"/>
      <c r="N325" s="78"/>
      <c r="O325" s="78"/>
    </row>
    <row r="326" spans="1:15">
      <c r="A326" s="78"/>
      <c r="B326" s="78"/>
      <c r="M326" s="78"/>
      <c r="N326" s="78"/>
      <c r="O326" s="78"/>
    </row>
    <row r="327" spans="1:15">
      <c r="A327" s="78"/>
      <c r="B327" s="78"/>
      <c r="M327" s="78"/>
      <c r="N327" s="78"/>
      <c r="O327" s="78"/>
    </row>
    <row r="328" spans="1:15">
      <c r="A328" s="78"/>
      <c r="B328" s="78"/>
      <c r="M328" s="78"/>
      <c r="N328" s="78"/>
      <c r="O328" s="78"/>
    </row>
    <row r="329" spans="1:15">
      <c r="A329" s="78"/>
      <c r="B329" s="78"/>
      <c r="M329" s="78"/>
      <c r="N329" s="78"/>
      <c r="O329" s="78"/>
    </row>
    <row r="330" spans="1:15">
      <c r="A330" s="78"/>
      <c r="B330" s="78"/>
      <c r="M330" s="78"/>
      <c r="N330" s="78"/>
      <c r="O330" s="78"/>
    </row>
    <row r="331" spans="1:15">
      <c r="A331" s="78"/>
      <c r="B331" s="78"/>
      <c r="M331" s="78"/>
      <c r="N331" s="78"/>
      <c r="O331" s="78"/>
    </row>
    <row r="332" spans="1:15">
      <c r="A332" s="78"/>
      <c r="B332" s="78"/>
      <c r="M332" s="78"/>
      <c r="N332" s="78"/>
      <c r="O332" s="78"/>
    </row>
    <row r="333" spans="1:15">
      <c r="A333" s="78"/>
      <c r="B333" s="78"/>
      <c r="M333" s="78"/>
      <c r="N333" s="78"/>
      <c r="O333" s="78"/>
    </row>
    <row r="334" spans="1:15">
      <c r="A334" s="78"/>
      <c r="B334" s="78"/>
      <c r="M334" s="78"/>
      <c r="N334" s="78"/>
      <c r="O334" s="78"/>
    </row>
    <row r="335" spans="1:15">
      <c r="A335" s="78"/>
      <c r="B335" s="78"/>
      <c r="M335" s="78"/>
      <c r="N335" s="78"/>
      <c r="O335" s="78"/>
    </row>
    <row r="336" spans="1:15">
      <c r="A336" s="78"/>
      <c r="B336" s="78"/>
      <c r="M336" s="78"/>
      <c r="N336" s="78"/>
      <c r="O336" s="78"/>
    </row>
    <row r="337" spans="1:15">
      <c r="A337" s="78"/>
      <c r="B337" s="78"/>
      <c r="M337" s="78"/>
      <c r="N337" s="78"/>
      <c r="O337" s="78"/>
    </row>
    <row r="338" spans="1:15">
      <c r="A338" s="78"/>
      <c r="B338" s="78"/>
      <c r="M338" s="78"/>
      <c r="N338" s="78"/>
      <c r="O338" s="78"/>
    </row>
    <row r="339" spans="1:15">
      <c r="A339" s="78"/>
      <c r="B339" s="78"/>
      <c r="M339" s="78"/>
      <c r="N339" s="78"/>
      <c r="O339" s="78"/>
    </row>
    <row r="340" spans="1:15">
      <c r="A340" s="78"/>
      <c r="B340" s="78"/>
      <c r="M340" s="78"/>
      <c r="N340" s="78"/>
      <c r="O340" s="78"/>
    </row>
    <row r="341" spans="1:15">
      <c r="A341" s="78"/>
      <c r="B341" s="78"/>
      <c r="M341" s="78"/>
      <c r="N341" s="78"/>
      <c r="O341" s="78"/>
    </row>
    <row r="342" spans="1:15">
      <c r="A342" s="78"/>
      <c r="B342" s="78"/>
      <c r="M342" s="78"/>
      <c r="N342" s="78"/>
      <c r="O342" s="78"/>
    </row>
    <row r="343" spans="1:15">
      <c r="A343" s="78"/>
      <c r="B343" s="78"/>
      <c r="M343" s="78"/>
      <c r="N343" s="78"/>
      <c r="O343" s="78"/>
    </row>
    <row r="344" spans="1:15">
      <c r="A344" s="78"/>
      <c r="B344" s="78"/>
      <c r="M344" s="78"/>
      <c r="N344" s="78"/>
      <c r="O344" s="78"/>
    </row>
    <row r="345" spans="1:15">
      <c r="A345" s="78"/>
      <c r="B345" s="78"/>
      <c r="M345" s="78"/>
      <c r="N345" s="78"/>
      <c r="O345" s="78"/>
    </row>
    <row r="346" spans="1:15">
      <c r="A346" s="78"/>
      <c r="B346" s="78"/>
      <c r="M346" s="78"/>
      <c r="N346" s="78"/>
      <c r="O346" s="78"/>
    </row>
    <row r="347" spans="1:15">
      <c r="A347" s="78"/>
      <c r="B347" s="78"/>
      <c r="M347" s="78"/>
      <c r="N347" s="78"/>
      <c r="O347" s="78"/>
    </row>
    <row r="348" spans="1:15">
      <c r="A348" s="78"/>
      <c r="B348" s="78"/>
      <c r="M348" s="78"/>
      <c r="N348" s="78"/>
      <c r="O348" s="78"/>
    </row>
    <row r="349" spans="1:15">
      <c r="A349" s="78"/>
      <c r="B349" s="78"/>
      <c r="M349" s="78"/>
      <c r="N349" s="78"/>
      <c r="O349" s="78"/>
    </row>
    <row r="350" spans="1:15">
      <c r="A350" s="78"/>
      <c r="B350" s="78"/>
      <c r="M350" s="78"/>
      <c r="N350" s="78"/>
      <c r="O350" s="78"/>
    </row>
    <row r="351" spans="1:15">
      <c r="A351" s="78"/>
      <c r="B351" s="78"/>
      <c r="M351" s="78"/>
      <c r="N351" s="78"/>
      <c r="O351" s="78"/>
    </row>
    <row r="352" spans="1:15">
      <c r="A352" s="78"/>
      <c r="B352" s="78"/>
      <c r="M352" s="78"/>
      <c r="N352" s="78"/>
      <c r="O352" s="78"/>
    </row>
    <row r="353" spans="1:15">
      <c r="A353" s="78"/>
      <c r="B353" s="78"/>
      <c r="M353" s="78"/>
      <c r="N353" s="78"/>
      <c r="O353" s="78"/>
    </row>
    <row r="354" spans="1:15">
      <c r="A354" s="78"/>
      <c r="B354" s="78"/>
      <c r="M354" s="78"/>
      <c r="N354" s="78"/>
      <c r="O354" s="78"/>
    </row>
    <row r="355" spans="1:15">
      <c r="A355" s="78"/>
      <c r="B355" s="78"/>
      <c r="M355" s="78"/>
      <c r="N355" s="78"/>
      <c r="O355" s="78"/>
    </row>
    <row r="356" spans="1:15">
      <c r="A356" s="78"/>
      <c r="B356" s="78"/>
      <c r="M356" s="78"/>
      <c r="N356" s="78"/>
      <c r="O356" s="78"/>
    </row>
    <row r="357" spans="1:15">
      <c r="A357" s="78"/>
      <c r="B357" s="78"/>
      <c r="M357" s="78"/>
      <c r="N357" s="78"/>
      <c r="O357" s="78"/>
    </row>
    <row r="358" spans="1:15">
      <c r="A358" s="78"/>
      <c r="B358" s="78"/>
      <c r="M358" s="78"/>
      <c r="N358" s="78"/>
      <c r="O358" s="78"/>
    </row>
    <row r="359" spans="1:15">
      <c r="A359" s="78"/>
      <c r="B359" s="78"/>
      <c r="M359" s="78"/>
      <c r="N359" s="78"/>
      <c r="O359" s="78"/>
    </row>
    <row r="360" spans="1:15">
      <c r="A360" s="78"/>
      <c r="B360" s="78"/>
      <c r="M360" s="78"/>
      <c r="N360" s="78"/>
      <c r="O360" s="78"/>
    </row>
    <row r="361" spans="1:15">
      <c r="A361" s="78"/>
      <c r="B361" s="78"/>
      <c r="M361" s="78"/>
      <c r="N361" s="78"/>
      <c r="O361" s="78"/>
    </row>
    <row r="362" spans="1:15">
      <c r="A362" s="78"/>
      <c r="B362" s="78"/>
      <c r="M362" s="78"/>
      <c r="N362" s="78"/>
      <c r="O362" s="78"/>
    </row>
    <row r="363" spans="1:15">
      <c r="A363" s="78"/>
      <c r="B363" s="78"/>
      <c r="M363" s="78"/>
      <c r="N363" s="78"/>
      <c r="O363" s="78"/>
    </row>
    <row r="364" spans="1:15">
      <c r="A364" s="78"/>
      <c r="B364" s="78"/>
      <c r="M364" s="78"/>
      <c r="N364" s="78"/>
      <c r="O364" s="78"/>
    </row>
    <row r="365" spans="1:15">
      <c r="A365" s="78"/>
      <c r="B365" s="78"/>
      <c r="M365" s="78"/>
      <c r="N365" s="78"/>
      <c r="O365" s="78"/>
    </row>
    <row r="366" spans="1:15">
      <c r="A366" s="78"/>
      <c r="B366" s="78"/>
      <c r="M366" s="78"/>
      <c r="N366" s="78"/>
      <c r="O366" s="78"/>
    </row>
    <row r="367" spans="1:15">
      <c r="A367" s="78"/>
      <c r="B367" s="78"/>
      <c r="M367" s="78"/>
      <c r="N367" s="78"/>
      <c r="O367" s="78"/>
    </row>
    <row r="368" spans="1:15">
      <c r="A368" s="78"/>
      <c r="B368" s="78"/>
      <c r="M368" s="78"/>
      <c r="N368" s="78"/>
      <c r="O368" s="78"/>
    </row>
    <row r="369" spans="1:15">
      <c r="A369" s="78"/>
      <c r="B369" s="78"/>
      <c r="M369" s="78"/>
      <c r="N369" s="78"/>
      <c r="O369" s="78"/>
    </row>
    <row r="370" spans="1:15">
      <c r="A370" s="78"/>
      <c r="B370" s="78"/>
      <c r="M370" s="78"/>
      <c r="N370" s="78"/>
      <c r="O370" s="78"/>
    </row>
    <row r="371" spans="1:15">
      <c r="A371" s="78"/>
      <c r="B371" s="78"/>
      <c r="M371" s="78"/>
      <c r="N371" s="78"/>
      <c r="O371" s="78"/>
    </row>
    <row r="372" spans="1:15">
      <c r="A372" s="78"/>
      <c r="B372" s="78"/>
      <c r="M372" s="78"/>
      <c r="N372" s="78"/>
      <c r="O372" s="78"/>
    </row>
    <row r="373" spans="1:15">
      <c r="A373" s="78"/>
      <c r="B373" s="78"/>
      <c r="M373" s="78"/>
      <c r="N373" s="78"/>
      <c r="O373" s="78"/>
    </row>
    <row r="374" spans="1:15">
      <c r="A374" s="78"/>
      <c r="B374" s="78"/>
      <c r="M374" s="78"/>
      <c r="N374" s="78"/>
      <c r="O374" s="78"/>
    </row>
    <row r="375" spans="1:15">
      <c r="A375" s="78"/>
      <c r="B375" s="78"/>
      <c r="M375" s="78"/>
      <c r="N375" s="78"/>
      <c r="O375" s="78"/>
    </row>
    <row r="376" spans="1:15">
      <c r="A376" s="78"/>
      <c r="B376" s="78"/>
      <c r="M376" s="78"/>
      <c r="N376" s="78"/>
      <c r="O376" s="78"/>
    </row>
    <row r="377" spans="1:15">
      <c r="A377" s="78"/>
      <c r="B377" s="78"/>
      <c r="M377" s="78"/>
      <c r="N377" s="78"/>
      <c r="O377" s="78"/>
    </row>
    <row r="378" spans="1:15">
      <c r="A378" s="78"/>
      <c r="B378" s="78"/>
      <c r="M378" s="78"/>
      <c r="N378" s="78"/>
      <c r="O378" s="78"/>
    </row>
    <row r="379" spans="1:15">
      <c r="A379" s="78"/>
      <c r="B379" s="78"/>
      <c r="M379" s="78"/>
      <c r="N379" s="78"/>
      <c r="O379" s="78"/>
    </row>
    <row r="380" spans="1:15">
      <c r="A380" s="78"/>
      <c r="B380" s="78"/>
      <c r="M380" s="78"/>
      <c r="N380" s="78"/>
      <c r="O380" s="78"/>
    </row>
    <row r="381" spans="1:15">
      <c r="A381" s="78"/>
      <c r="B381" s="78"/>
      <c r="M381" s="78"/>
      <c r="N381" s="78"/>
      <c r="O381" s="78"/>
    </row>
    <row r="382" spans="1:15">
      <c r="A382" s="78"/>
      <c r="B382" s="78"/>
      <c r="M382" s="78"/>
      <c r="N382" s="78"/>
      <c r="O382" s="78"/>
    </row>
    <row r="383" spans="1:15">
      <c r="A383" s="78"/>
      <c r="B383" s="78"/>
      <c r="M383" s="78"/>
      <c r="N383" s="78"/>
      <c r="O383" s="78"/>
    </row>
    <row r="384" spans="1:15">
      <c r="A384" s="78"/>
      <c r="B384" s="78"/>
      <c r="M384" s="78"/>
      <c r="N384" s="78"/>
      <c r="O384" s="78"/>
    </row>
    <row r="385" spans="1:15">
      <c r="A385" s="78"/>
      <c r="B385" s="78"/>
      <c r="M385" s="78"/>
      <c r="N385" s="78"/>
      <c r="O385" s="78"/>
    </row>
    <row r="386" spans="1:15">
      <c r="A386" s="78"/>
      <c r="B386" s="78"/>
      <c r="M386" s="78"/>
      <c r="N386" s="78"/>
      <c r="O386" s="78"/>
    </row>
    <row r="387" spans="1:15">
      <c r="A387" s="78"/>
      <c r="B387" s="78"/>
      <c r="M387" s="78"/>
      <c r="N387" s="78"/>
      <c r="O387" s="78"/>
    </row>
    <row r="388" spans="1:15">
      <c r="A388" s="78"/>
      <c r="B388" s="78"/>
      <c r="M388" s="78"/>
      <c r="N388" s="78"/>
      <c r="O388" s="78"/>
    </row>
    <row r="389" spans="1:15">
      <c r="A389" s="78"/>
      <c r="B389" s="78"/>
      <c r="M389" s="78"/>
      <c r="N389" s="78"/>
      <c r="O389" s="78"/>
    </row>
    <row r="390" spans="1:15">
      <c r="A390" s="78"/>
      <c r="B390" s="78"/>
      <c r="M390" s="78"/>
      <c r="N390" s="78"/>
      <c r="O390" s="78"/>
    </row>
    <row r="391" spans="1:15">
      <c r="A391" s="78"/>
      <c r="B391" s="78"/>
      <c r="M391" s="78"/>
      <c r="N391" s="78"/>
      <c r="O391" s="78"/>
    </row>
    <row r="392" spans="1:15">
      <c r="A392" s="78"/>
      <c r="B392" s="78"/>
      <c r="M392" s="78"/>
      <c r="N392" s="78"/>
      <c r="O392" s="78"/>
    </row>
    <row r="393" spans="1:15">
      <c r="A393" s="78"/>
      <c r="B393" s="78"/>
      <c r="M393" s="78"/>
      <c r="N393" s="78"/>
      <c r="O393" s="78"/>
    </row>
    <row r="394" spans="1:15">
      <c r="A394" s="78"/>
      <c r="B394" s="78"/>
      <c r="M394" s="78"/>
      <c r="N394" s="78"/>
      <c r="O394" s="78"/>
    </row>
    <row r="395" spans="1:15">
      <c r="A395" s="78"/>
      <c r="B395" s="78"/>
      <c r="M395" s="78"/>
      <c r="N395" s="78"/>
      <c r="O395" s="78"/>
    </row>
    <row r="396" spans="1:15">
      <c r="A396" s="78"/>
      <c r="B396" s="78"/>
      <c r="M396" s="78"/>
      <c r="N396" s="78"/>
      <c r="O396" s="78"/>
    </row>
    <row r="397" spans="1:15">
      <c r="A397" s="78"/>
      <c r="B397" s="78"/>
      <c r="M397" s="78"/>
      <c r="N397" s="78"/>
      <c r="O397" s="78"/>
    </row>
    <row r="398" spans="1:15">
      <c r="A398" s="78"/>
      <c r="B398" s="78"/>
      <c r="M398" s="78"/>
      <c r="N398" s="78"/>
      <c r="O398" s="78"/>
    </row>
    <row r="399" spans="1:15">
      <c r="A399" s="78"/>
      <c r="B399" s="78"/>
      <c r="M399" s="78"/>
      <c r="N399" s="78"/>
      <c r="O399" s="78"/>
    </row>
    <row r="400" spans="1:15">
      <c r="A400" s="78"/>
      <c r="B400" s="78"/>
      <c r="M400" s="78"/>
      <c r="N400" s="78"/>
      <c r="O400" s="78"/>
    </row>
    <row r="401" spans="1:15">
      <c r="A401" s="78"/>
      <c r="B401" s="78"/>
      <c r="M401" s="78"/>
      <c r="N401" s="78"/>
      <c r="O401" s="78"/>
    </row>
    <row r="402" spans="1:15">
      <c r="A402" s="78"/>
      <c r="B402" s="78"/>
      <c r="M402" s="78"/>
      <c r="N402" s="78"/>
      <c r="O402" s="78"/>
    </row>
    <row r="403" spans="1:15">
      <c r="A403" s="78"/>
      <c r="B403" s="78"/>
      <c r="M403" s="78"/>
      <c r="N403" s="78"/>
      <c r="O403" s="78"/>
    </row>
    <row r="404" spans="1:15">
      <c r="A404" s="78"/>
      <c r="B404" s="78"/>
      <c r="M404" s="78"/>
      <c r="N404" s="78"/>
      <c r="O404" s="78"/>
    </row>
    <row r="405" spans="1:15">
      <c r="A405" s="78"/>
      <c r="B405" s="78"/>
      <c r="M405" s="78"/>
      <c r="N405" s="78"/>
      <c r="O405" s="78"/>
    </row>
    <row r="406" spans="1:15">
      <c r="A406" s="78"/>
      <c r="B406" s="78"/>
      <c r="M406" s="78"/>
      <c r="N406" s="78"/>
      <c r="O406" s="78"/>
    </row>
    <row r="407" spans="1:15">
      <c r="A407" s="78"/>
      <c r="B407" s="78"/>
      <c r="M407" s="78"/>
      <c r="N407" s="78"/>
      <c r="O407" s="78"/>
    </row>
    <row r="408" spans="1:15">
      <c r="A408" s="78"/>
      <c r="B408" s="78"/>
      <c r="M408" s="78"/>
      <c r="N408" s="78"/>
      <c r="O408" s="78"/>
    </row>
    <row r="409" spans="1:15">
      <c r="A409" s="78"/>
      <c r="B409" s="78"/>
      <c r="M409" s="78"/>
      <c r="N409" s="78"/>
      <c r="O409" s="78"/>
    </row>
    <row r="410" spans="1:15">
      <c r="A410" s="78"/>
      <c r="B410" s="78"/>
      <c r="M410" s="78"/>
      <c r="N410" s="78"/>
      <c r="O410" s="78"/>
    </row>
    <row r="411" spans="1:15">
      <c r="A411" s="78"/>
      <c r="B411" s="78"/>
      <c r="M411" s="78"/>
      <c r="N411" s="78"/>
      <c r="O411" s="78"/>
    </row>
    <row r="412" spans="1:15">
      <c r="A412" s="78"/>
      <c r="B412" s="78"/>
      <c r="M412" s="78"/>
      <c r="N412" s="78"/>
      <c r="O412" s="78"/>
    </row>
    <row r="413" spans="1:15">
      <c r="A413" s="78"/>
      <c r="B413" s="78"/>
      <c r="M413" s="78"/>
      <c r="N413" s="78"/>
      <c r="O413" s="78"/>
    </row>
    <row r="414" spans="1:15">
      <c r="A414" s="78"/>
      <c r="B414" s="78"/>
      <c r="M414" s="78"/>
      <c r="N414" s="78"/>
      <c r="O414" s="78"/>
    </row>
    <row r="415" spans="1:15">
      <c r="A415" s="78"/>
      <c r="B415" s="78"/>
      <c r="M415" s="78"/>
      <c r="N415" s="78"/>
      <c r="O415" s="78"/>
    </row>
    <row r="416" spans="1:15">
      <c r="A416" s="78"/>
      <c r="B416" s="78"/>
      <c r="M416" s="78"/>
      <c r="N416" s="78"/>
      <c r="O416" s="78"/>
    </row>
    <row r="417" spans="1:15">
      <c r="A417" s="78"/>
      <c r="B417" s="78"/>
      <c r="M417" s="78"/>
      <c r="N417" s="78"/>
      <c r="O417" s="78"/>
    </row>
    <row r="418" spans="1:15">
      <c r="A418" s="78"/>
      <c r="B418" s="78"/>
      <c r="M418" s="78"/>
      <c r="N418" s="78"/>
      <c r="O418" s="78"/>
    </row>
    <row r="419" spans="1:15">
      <c r="A419" s="78"/>
      <c r="B419" s="78"/>
      <c r="M419" s="78"/>
      <c r="N419" s="78"/>
      <c r="O419" s="78"/>
    </row>
    <row r="420" spans="1:15">
      <c r="A420" s="78"/>
      <c r="B420" s="78"/>
      <c r="M420" s="78"/>
      <c r="N420" s="78"/>
      <c r="O420" s="78"/>
    </row>
    <row r="421" spans="1:15">
      <c r="A421" s="78"/>
      <c r="B421" s="78"/>
      <c r="M421" s="78"/>
      <c r="N421" s="78"/>
      <c r="O421" s="78"/>
    </row>
    <row r="422" spans="1:15">
      <c r="A422" s="78"/>
      <c r="B422" s="78"/>
      <c r="M422" s="78"/>
      <c r="N422" s="78"/>
      <c r="O422" s="78"/>
    </row>
    <row r="423" spans="1:15">
      <c r="A423" s="78"/>
      <c r="B423" s="78"/>
      <c r="M423" s="78"/>
      <c r="N423" s="78"/>
      <c r="O423" s="78"/>
    </row>
    <row r="424" spans="1:15">
      <c r="A424" s="78"/>
      <c r="B424" s="78"/>
      <c r="M424" s="78"/>
      <c r="N424" s="78"/>
      <c r="O424" s="78"/>
    </row>
    <row r="425" spans="1:15">
      <c r="A425" s="78"/>
      <c r="B425" s="78"/>
      <c r="M425" s="78"/>
      <c r="N425" s="78"/>
      <c r="O425" s="78"/>
    </row>
    <row r="426" spans="1:15">
      <c r="A426" s="78"/>
      <c r="B426" s="78"/>
      <c r="M426" s="78"/>
      <c r="N426" s="78"/>
      <c r="O426" s="78"/>
    </row>
    <row r="427" spans="1:15">
      <c r="A427" s="78"/>
      <c r="B427" s="78"/>
      <c r="M427" s="78"/>
      <c r="N427" s="78"/>
      <c r="O427" s="78"/>
    </row>
    <row r="428" spans="1:15">
      <c r="A428" s="78"/>
      <c r="B428" s="78"/>
      <c r="M428" s="78"/>
      <c r="N428" s="78"/>
      <c r="O428" s="78"/>
    </row>
    <row r="429" spans="1:15">
      <c r="A429" s="78"/>
      <c r="B429" s="78"/>
      <c r="M429" s="78"/>
      <c r="N429" s="78"/>
      <c r="O429" s="78"/>
    </row>
    <row r="430" spans="1:15">
      <c r="A430" s="78"/>
      <c r="B430" s="78"/>
      <c r="M430" s="78"/>
      <c r="N430" s="78"/>
      <c r="O430" s="78"/>
    </row>
    <row r="431" spans="1:15">
      <c r="A431" s="78"/>
      <c r="B431" s="78"/>
      <c r="M431" s="78"/>
      <c r="N431" s="78"/>
      <c r="O431" s="78"/>
    </row>
    <row r="432" spans="1:15">
      <c r="A432" s="78"/>
      <c r="B432" s="78"/>
      <c r="M432" s="78"/>
      <c r="N432" s="78"/>
      <c r="O432" s="78"/>
    </row>
    <row r="433" spans="1:15">
      <c r="A433" s="78"/>
      <c r="B433" s="78"/>
      <c r="M433" s="78"/>
      <c r="N433" s="78"/>
      <c r="O433" s="78"/>
    </row>
    <row r="434" spans="1:15">
      <c r="A434" s="78"/>
      <c r="B434" s="78"/>
      <c r="M434" s="78"/>
      <c r="N434" s="78"/>
      <c r="O434" s="78"/>
    </row>
    <row r="435" spans="1:15">
      <c r="A435" s="78"/>
      <c r="B435" s="78"/>
      <c r="M435" s="78"/>
      <c r="N435" s="78"/>
      <c r="O435" s="78"/>
    </row>
    <row r="436" spans="1:15">
      <c r="A436" s="78"/>
      <c r="B436" s="78"/>
      <c r="M436" s="78"/>
      <c r="N436" s="78"/>
      <c r="O436" s="78"/>
    </row>
    <row r="437" spans="1:15">
      <c r="A437" s="78"/>
      <c r="B437" s="78"/>
      <c r="M437" s="78"/>
      <c r="N437" s="78"/>
      <c r="O437" s="78"/>
    </row>
    <row r="438" spans="1:15">
      <c r="A438" s="78"/>
      <c r="B438" s="78"/>
      <c r="M438" s="78"/>
      <c r="N438" s="78"/>
      <c r="O438" s="78"/>
    </row>
    <row r="439" spans="1:15">
      <c r="A439" s="78"/>
      <c r="B439" s="78"/>
      <c r="M439" s="78"/>
      <c r="N439" s="78"/>
      <c r="O439" s="78"/>
    </row>
    <row r="440" spans="1:15">
      <c r="A440" s="78"/>
      <c r="B440" s="78"/>
      <c r="M440" s="78"/>
      <c r="N440" s="78"/>
      <c r="O440" s="78"/>
    </row>
    <row r="441" spans="1:15">
      <c r="A441" s="78"/>
      <c r="B441" s="78"/>
      <c r="M441" s="78"/>
      <c r="N441" s="78"/>
      <c r="O441" s="78"/>
    </row>
    <row r="442" spans="1:15">
      <c r="A442" s="78"/>
      <c r="B442" s="78"/>
      <c r="M442" s="78"/>
      <c r="N442" s="78"/>
      <c r="O442" s="78"/>
    </row>
    <row r="443" spans="1:15">
      <c r="A443" s="78"/>
      <c r="B443" s="78"/>
      <c r="M443" s="78"/>
      <c r="N443" s="78"/>
      <c r="O443" s="78"/>
    </row>
    <row r="444" spans="1:15">
      <c r="A444" s="78"/>
      <c r="B444" s="78"/>
      <c r="M444" s="78"/>
      <c r="N444" s="78"/>
      <c r="O444" s="78"/>
    </row>
    <row r="445" spans="1:15">
      <c r="A445" s="78"/>
      <c r="B445" s="78"/>
      <c r="M445" s="78"/>
      <c r="N445" s="78"/>
      <c r="O445" s="78"/>
    </row>
    <row r="446" spans="1:15">
      <c r="A446" s="78"/>
      <c r="B446" s="78"/>
      <c r="M446" s="78"/>
      <c r="N446" s="78"/>
      <c r="O446" s="78"/>
    </row>
    <row r="447" spans="1:15">
      <c r="A447" s="78"/>
      <c r="B447" s="78"/>
      <c r="M447" s="78"/>
      <c r="N447" s="78"/>
      <c r="O447" s="78"/>
    </row>
    <row r="448" spans="1:15">
      <c r="A448" s="78"/>
      <c r="B448" s="78"/>
      <c r="M448" s="78"/>
      <c r="N448" s="78"/>
      <c r="O448" s="78"/>
    </row>
    <row r="449" spans="1:15">
      <c r="A449" s="78"/>
      <c r="B449" s="78"/>
      <c r="M449" s="78"/>
      <c r="N449" s="78"/>
      <c r="O449" s="78"/>
    </row>
    <row r="450" spans="1:15">
      <c r="A450" s="78"/>
      <c r="B450" s="78"/>
      <c r="M450" s="78"/>
      <c r="N450" s="78"/>
      <c r="O450" s="78"/>
    </row>
    <row r="451" spans="1:15">
      <c r="A451" s="78"/>
      <c r="B451" s="78"/>
      <c r="M451" s="78"/>
      <c r="N451" s="78"/>
      <c r="O451" s="78"/>
    </row>
    <row r="452" spans="1:15">
      <c r="A452" s="78"/>
      <c r="B452" s="78"/>
      <c r="M452" s="78"/>
      <c r="N452" s="78"/>
      <c r="O452" s="78"/>
    </row>
    <row r="453" spans="1:15">
      <c r="A453" s="78"/>
      <c r="B453" s="78"/>
      <c r="M453" s="78"/>
      <c r="N453" s="78"/>
      <c r="O453" s="78"/>
    </row>
    <row r="454" spans="1:15">
      <c r="A454" s="78"/>
      <c r="B454" s="78"/>
      <c r="M454" s="78"/>
      <c r="N454" s="78"/>
      <c r="O454" s="78"/>
    </row>
    <row r="455" spans="1:15">
      <c r="A455" s="78"/>
      <c r="B455" s="78"/>
      <c r="M455" s="78"/>
      <c r="N455" s="78"/>
      <c r="O455" s="78"/>
    </row>
    <row r="456" spans="1:15">
      <c r="A456" s="78"/>
      <c r="B456" s="78"/>
      <c r="M456" s="78"/>
      <c r="N456" s="78"/>
      <c r="O456" s="78"/>
    </row>
    <row r="457" spans="1:15">
      <c r="A457" s="78"/>
      <c r="B457" s="78"/>
      <c r="M457" s="78"/>
      <c r="N457" s="78"/>
      <c r="O457" s="78"/>
    </row>
    <row r="458" spans="1:15">
      <c r="A458" s="78"/>
      <c r="B458" s="78"/>
      <c r="M458" s="78"/>
      <c r="N458" s="78"/>
      <c r="O458" s="78"/>
    </row>
    <row r="459" spans="1:15">
      <c r="A459" s="78"/>
      <c r="B459" s="78"/>
      <c r="M459" s="78"/>
      <c r="N459" s="78"/>
      <c r="O459" s="78"/>
    </row>
    <row r="460" spans="1:15">
      <c r="A460" s="78"/>
      <c r="B460" s="78"/>
      <c r="M460" s="78"/>
      <c r="N460" s="78"/>
      <c r="O460" s="78"/>
    </row>
    <row r="461" spans="1:15">
      <c r="A461" s="78"/>
      <c r="B461" s="78"/>
      <c r="M461" s="78"/>
      <c r="N461" s="78"/>
      <c r="O461" s="78"/>
    </row>
    <row r="462" spans="1:15">
      <c r="A462" s="78"/>
      <c r="B462" s="78"/>
      <c r="M462" s="78"/>
      <c r="N462" s="78"/>
      <c r="O462" s="78"/>
    </row>
    <row r="463" spans="1:15">
      <c r="A463" s="78"/>
      <c r="B463" s="78"/>
      <c r="M463" s="78"/>
      <c r="N463" s="78"/>
      <c r="O463" s="78"/>
    </row>
    <row r="464" spans="1:15">
      <c r="A464" s="78"/>
      <c r="B464" s="78"/>
      <c r="M464" s="78"/>
      <c r="N464" s="78"/>
      <c r="O464" s="78"/>
    </row>
    <row r="465" spans="1:15">
      <c r="A465" s="78"/>
      <c r="B465" s="78"/>
      <c r="M465" s="78"/>
      <c r="N465" s="78"/>
      <c r="O465" s="78"/>
    </row>
    <row r="466" spans="1:15">
      <c r="A466" s="78"/>
      <c r="B466" s="78"/>
      <c r="M466" s="78"/>
      <c r="N466" s="78"/>
      <c r="O466" s="78"/>
    </row>
    <row r="467" spans="1:15">
      <c r="A467" s="78"/>
      <c r="B467" s="78"/>
      <c r="M467" s="78"/>
      <c r="N467" s="78"/>
      <c r="O467" s="78"/>
    </row>
    <row r="468" spans="1:15">
      <c r="A468" s="78"/>
      <c r="B468" s="78"/>
      <c r="M468" s="78"/>
      <c r="N468" s="78"/>
      <c r="O468" s="78"/>
    </row>
    <row r="469" spans="1:15">
      <c r="A469" s="78"/>
      <c r="B469" s="78"/>
      <c r="M469" s="78"/>
      <c r="N469" s="78"/>
      <c r="O469" s="78"/>
    </row>
    <row r="470" spans="1:15">
      <c r="A470" s="78"/>
      <c r="B470" s="78"/>
      <c r="M470" s="78"/>
      <c r="N470" s="78"/>
      <c r="O470" s="78"/>
    </row>
    <row r="471" spans="1:15">
      <c r="A471" s="78"/>
      <c r="B471" s="78"/>
      <c r="M471" s="78"/>
      <c r="N471" s="78"/>
      <c r="O471" s="78"/>
    </row>
    <row r="472" spans="1:15">
      <c r="A472" s="78"/>
      <c r="B472" s="78"/>
      <c r="M472" s="78"/>
      <c r="N472" s="78"/>
      <c r="O472" s="78"/>
    </row>
    <row r="473" spans="1:15">
      <c r="A473" s="78"/>
      <c r="B473" s="78"/>
      <c r="M473" s="78"/>
      <c r="N473" s="78"/>
      <c r="O473" s="78"/>
    </row>
    <row r="474" spans="1:15">
      <c r="A474" s="78"/>
      <c r="B474" s="78"/>
      <c r="M474" s="78"/>
      <c r="N474" s="78"/>
      <c r="O474" s="78"/>
    </row>
    <row r="475" spans="1:15">
      <c r="A475" s="78"/>
      <c r="B475" s="78"/>
      <c r="M475" s="78"/>
      <c r="N475" s="78"/>
      <c r="O475" s="78"/>
    </row>
    <row r="476" spans="1:15">
      <c r="A476" s="78"/>
      <c r="B476" s="78"/>
      <c r="M476" s="78"/>
      <c r="N476" s="78"/>
      <c r="O476" s="78"/>
    </row>
    <row r="477" spans="1:15">
      <c r="A477" s="78"/>
      <c r="B477" s="78"/>
      <c r="M477" s="78"/>
      <c r="N477" s="78"/>
      <c r="O477" s="78"/>
    </row>
    <row r="478" spans="1:15">
      <c r="A478" s="78"/>
      <c r="B478" s="78"/>
      <c r="M478" s="78"/>
      <c r="N478" s="78"/>
      <c r="O478" s="78"/>
    </row>
    <row r="479" spans="1:15">
      <c r="A479" s="78"/>
      <c r="B479" s="78"/>
      <c r="M479" s="78"/>
      <c r="N479" s="78"/>
      <c r="O479" s="78"/>
    </row>
    <row r="480" spans="1:15">
      <c r="A480" s="78"/>
      <c r="B480" s="78"/>
      <c r="M480" s="78"/>
      <c r="N480" s="78"/>
      <c r="O480" s="78"/>
    </row>
    <row r="481" spans="1:15">
      <c r="A481" s="78"/>
      <c r="B481" s="78"/>
      <c r="M481" s="78"/>
      <c r="N481" s="78"/>
      <c r="O481" s="78"/>
    </row>
    <row r="482" spans="1:15">
      <c r="A482" s="78"/>
      <c r="B482" s="78"/>
      <c r="M482" s="78"/>
      <c r="N482" s="78"/>
      <c r="O482" s="78"/>
    </row>
    <row r="483" spans="1:15">
      <c r="A483" s="78"/>
      <c r="B483" s="78"/>
      <c r="M483" s="78"/>
      <c r="N483" s="78"/>
      <c r="O483" s="78"/>
    </row>
    <row r="484" spans="1:15">
      <c r="A484" s="78"/>
      <c r="B484" s="78"/>
      <c r="M484" s="78"/>
      <c r="N484" s="78"/>
      <c r="O484" s="78"/>
    </row>
    <row r="485" spans="1:15">
      <c r="A485" s="78"/>
      <c r="B485" s="78"/>
      <c r="M485" s="78"/>
      <c r="N485" s="78"/>
      <c r="O485" s="78"/>
    </row>
    <row r="486" spans="1:15">
      <c r="A486" s="78"/>
      <c r="B486" s="78"/>
      <c r="M486" s="78"/>
      <c r="N486" s="78"/>
      <c r="O486" s="78"/>
    </row>
    <row r="487" spans="1:15">
      <c r="A487" s="78"/>
      <c r="B487" s="78"/>
      <c r="M487" s="78"/>
      <c r="N487" s="78"/>
      <c r="O487" s="78"/>
    </row>
    <row r="488" spans="1:15">
      <c r="A488" s="78"/>
      <c r="B488" s="78"/>
      <c r="M488" s="78"/>
      <c r="N488" s="78"/>
      <c r="O488" s="78"/>
    </row>
    <row r="489" spans="1:15">
      <c r="A489" s="78"/>
      <c r="B489" s="78"/>
      <c r="M489" s="78"/>
      <c r="N489" s="78"/>
      <c r="O489" s="78"/>
    </row>
    <row r="490" spans="1:15">
      <c r="A490" s="78"/>
      <c r="B490" s="78"/>
      <c r="M490" s="78"/>
      <c r="N490" s="78"/>
      <c r="O490" s="78"/>
    </row>
    <row r="491" spans="1:15">
      <c r="A491" s="78"/>
      <c r="B491" s="78"/>
      <c r="M491" s="78"/>
      <c r="N491" s="78"/>
      <c r="O491" s="78"/>
    </row>
    <row r="492" spans="1:15">
      <c r="A492" s="78"/>
      <c r="B492" s="78"/>
      <c r="M492" s="78"/>
      <c r="N492" s="78"/>
      <c r="O492" s="78"/>
    </row>
    <row r="493" spans="1:15">
      <c r="A493" s="78"/>
      <c r="B493" s="78"/>
      <c r="M493" s="78"/>
      <c r="N493" s="78"/>
      <c r="O493" s="78"/>
    </row>
    <row r="494" spans="1:15">
      <c r="A494" s="78"/>
      <c r="B494" s="78"/>
      <c r="M494" s="78"/>
      <c r="N494" s="78"/>
      <c r="O494" s="78"/>
    </row>
    <row r="495" spans="1:15">
      <c r="A495" s="78"/>
      <c r="B495" s="78"/>
      <c r="M495" s="78"/>
      <c r="N495" s="78"/>
      <c r="O495" s="78"/>
    </row>
    <row r="496" spans="1:15">
      <c r="A496" s="78"/>
      <c r="B496" s="78"/>
      <c r="M496" s="78"/>
      <c r="N496" s="78"/>
      <c r="O496" s="78"/>
    </row>
    <row r="497" spans="1:15">
      <c r="A497" s="78"/>
      <c r="B497" s="78"/>
      <c r="M497" s="78"/>
      <c r="N497" s="78"/>
      <c r="O497" s="78"/>
    </row>
    <row r="498" spans="1:15">
      <c r="A498" s="78"/>
      <c r="B498" s="78"/>
      <c r="M498" s="78"/>
      <c r="N498" s="78"/>
      <c r="O498" s="78"/>
    </row>
    <row r="499" spans="1:15">
      <c r="A499" s="78"/>
      <c r="B499" s="78"/>
      <c r="M499" s="78"/>
      <c r="N499" s="78"/>
      <c r="O499" s="78"/>
    </row>
    <row r="500" spans="1:15">
      <c r="A500" s="78"/>
      <c r="B500" s="78"/>
      <c r="M500" s="78"/>
      <c r="N500" s="78"/>
      <c r="O500" s="78"/>
    </row>
    <row r="501" spans="1:15">
      <c r="A501" s="78"/>
      <c r="B501" s="78"/>
      <c r="M501" s="78"/>
      <c r="N501" s="78"/>
      <c r="O501" s="78"/>
    </row>
    <row r="502" spans="1:15">
      <c r="A502" s="78"/>
      <c r="B502" s="78"/>
      <c r="M502" s="78"/>
      <c r="N502" s="78"/>
      <c r="O502" s="78"/>
    </row>
    <row r="503" spans="1:15">
      <c r="A503" s="78"/>
      <c r="B503" s="78"/>
      <c r="M503" s="78"/>
      <c r="N503" s="78"/>
      <c r="O503" s="78"/>
    </row>
    <row r="504" spans="1:15">
      <c r="A504" s="78"/>
      <c r="B504" s="78"/>
      <c r="M504" s="78"/>
      <c r="N504" s="78"/>
      <c r="O504" s="78"/>
    </row>
    <row r="505" spans="1:15">
      <c r="A505" s="78"/>
      <c r="B505" s="78"/>
      <c r="M505" s="78"/>
      <c r="N505" s="78"/>
      <c r="O505" s="78"/>
    </row>
    <row r="506" spans="1:15">
      <c r="A506" s="78"/>
      <c r="B506" s="78"/>
      <c r="M506" s="78"/>
      <c r="N506" s="78"/>
      <c r="O506" s="78"/>
    </row>
    <row r="507" spans="1:15">
      <c r="A507" s="78"/>
      <c r="B507" s="78"/>
      <c r="M507" s="78"/>
      <c r="N507" s="78"/>
      <c r="O507" s="78"/>
    </row>
    <row r="508" spans="1:15">
      <c r="A508" s="78"/>
      <c r="B508" s="78"/>
      <c r="M508" s="78"/>
      <c r="N508" s="78"/>
      <c r="O508" s="78"/>
    </row>
    <row r="509" spans="1:15">
      <c r="A509" s="78"/>
      <c r="B509" s="78"/>
      <c r="M509" s="78"/>
      <c r="N509" s="78"/>
      <c r="O509" s="78"/>
    </row>
    <row r="510" spans="1:15">
      <c r="A510" s="78"/>
      <c r="B510" s="78"/>
      <c r="M510" s="78"/>
      <c r="N510" s="78"/>
      <c r="O510" s="78"/>
    </row>
    <row r="511" spans="1:15">
      <c r="A511" s="78"/>
      <c r="B511" s="78"/>
      <c r="M511" s="78"/>
      <c r="N511" s="78"/>
      <c r="O511" s="78"/>
    </row>
    <row r="512" spans="1:15">
      <c r="A512" s="78"/>
      <c r="B512" s="78"/>
      <c r="M512" s="78"/>
      <c r="N512" s="78"/>
      <c r="O512" s="78"/>
    </row>
    <row r="513" spans="1:15">
      <c r="A513" s="78"/>
      <c r="B513" s="78"/>
      <c r="M513" s="78"/>
      <c r="N513" s="78"/>
      <c r="O513" s="78"/>
    </row>
    <row r="514" spans="1:15">
      <c r="A514" s="78"/>
      <c r="B514" s="78"/>
      <c r="M514" s="78"/>
      <c r="N514" s="78"/>
      <c r="O514" s="78"/>
    </row>
    <row r="515" spans="1:15">
      <c r="A515" s="78"/>
      <c r="B515" s="78"/>
      <c r="M515" s="78"/>
      <c r="N515" s="78"/>
      <c r="O515" s="78"/>
    </row>
    <row r="516" spans="1:15">
      <c r="A516" s="78"/>
      <c r="B516" s="78"/>
      <c r="M516" s="78"/>
      <c r="N516" s="78"/>
      <c r="O516" s="78"/>
    </row>
    <row r="517" spans="1:15">
      <c r="A517" s="78"/>
      <c r="B517" s="78"/>
      <c r="M517" s="78"/>
      <c r="N517" s="78"/>
      <c r="O517" s="78"/>
    </row>
    <row r="518" spans="1:15">
      <c r="A518" s="78"/>
      <c r="B518" s="78"/>
      <c r="M518" s="78"/>
      <c r="N518" s="78"/>
      <c r="O518" s="78"/>
    </row>
    <row r="519" spans="1:15">
      <c r="A519" s="78"/>
      <c r="B519" s="78"/>
      <c r="M519" s="78"/>
      <c r="N519" s="78"/>
      <c r="O519" s="78"/>
    </row>
    <row r="520" spans="1:15">
      <c r="A520" s="78"/>
      <c r="B520" s="78"/>
      <c r="M520" s="78"/>
      <c r="N520" s="78"/>
      <c r="O520" s="78"/>
    </row>
    <row r="521" spans="1:15">
      <c r="A521" s="78"/>
      <c r="B521" s="78"/>
      <c r="M521" s="78"/>
      <c r="N521" s="78"/>
      <c r="O521" s="78"/>
    </row>
    <row r="522" spans="1:15">
      <c r="A522" s="78"/>
      <c r="B522" s="78"/>
      <c r="M522" s="78"/>
      <c r="N522" s="78"/>
      <c r="O522" s="78"/>
    </row>
    <row r="523" spans="1:15">
      <c r="A523" s="78"/>
      <c r="B523" s="78"/>
      <c r="M523" s="78"/>
      <c r="N523" s="78"/>
      <c r="O523" s="78"/>
    </row>
    <row r="524" spans="1:15">
      <c r="A524" s="78"/>
      <c r="B524" s="78"/>
      <c r="M524" s="78"/>
      <c r="N524" s="78"/>
      <c r="O524" s="78"/>
    </row>
    <row r="525" spans="1:15">
      <c r="A525" s="78"/>
      <c r="B525" s="78"/>
      <c r="M525" s="78"/>
      <c r="N525" s="78"/>
      <c r="O525" s="78"/>
    </row>
    <row r="526" spans="1:15">
      <c r="A526" s="78"/>
      <c r="B526" s="78"/>
      <c r="M526" s="78"/>
      <c r="N526" s="78"/>
      <c r="O526" s="78"/>
    </row>
    <row r="527" spans="1:15">
      <c r="A527" s="78"/>
      <c r="B527" s="78"/>
      <c r="M527" s="78"/>
      <c r="N527" s="78"/>
      <c r="O527" s="78"/>
    </row>
    <row r="528" spans="1:15">
      <c r="A528" s="78"/>
      <c r="B528" s="78"/>
      <c r="M528" s="78"/>
      <c r="N528" s="78"/>
      <c r="O528" s="78"/>
    </row>
    <row r="529" spans="1:15">
      <c r="A529" s="78"/>
      <c r="B529" s="78"/>
      <c r="M529" s="78"/>
      <c r="N529" s="78"/>
      <c r="O529" s="78"/>
    </row>
    <row r="530" spans="1:15">
      <c r="A530" s="78"/>
      <c r="B530" s="78"/>
      <c r="M530" s="78"/>
      <c r="N530" s="78"/>
      <c r="O530" s="78"/>
    </row>
    <row r="531" spans="1:15">
      <c r="A531" s="78"/>
      <c r="B531" s="78"/>
      <c r="M531" s="78"/>
      <c r="N531" s="78"/>
      <c r="O531" s="78"/>
    </row>
    <row r="532" spans="1:15">
      <c r="A532" s="78"/>
      <c r="B532" s="78"/>
      <c r="M532" s="78"/>
      <c r="N532" s="78"/>
      <c r="O532" s="78"/>
    </row>
    <row r="533" spans="1:15">
      <c r="A533" s="78"/>
      <c r="B533" s="78"/>
      <c r="M533" s="78"/>
      <c r="N533" s="78"/>
      <c r="O533" s="78"/>
    </row>
    <row r="534" spans="1:15">
      <c r="A534" s="78"/>
      <c r="B534" s="78"/>
      <c r="M534" s="78"/>
      <c r="N534" s="78"/>
      <c r="O534" s="78"/>
    </row>
    <row r="535" spans="1:15">
      <c r="A535" s="78"/>
      <c r="B535" s="78"/>
      <c r="M535" s="78"/>
      <c r="N535" s="78"/>
      <c r="O535" s="78"/>
    </row>
    <row r="536" spans="1:15">
      <c r="A536" s="78"/>
      <c r="B536" s="78"/>
      <c r="M536" s="78"/>
      <c r="N536" s="78"/>
      <c r="O536" s="78"/>
    </row>
    <row r="537" spans="1:15">
      <c r="A537" s="78"/>
      <c r="B537" s="78"/>
      <c r="M537" s="78"/>
      <c r="N537" s="78"/>
      <c r="O537" s="78"/>
    </row>
    <row r="538" spans="1:15">
      <c r="A538" s="78"/>
      <c r="B538" s="78"/>
      <c r="M538" s="78"/>
      <c r="N538" s="78"/>
      <c r="O538" s="78"/>
    </row>
    <row r="539" spans="1:15">
      <c r="A539" s="78"/>
      <c r="B539" s="78"/>
      <c r="M539" s="78"/>
      <c r="N539" s="78"/>
      <c r="O539" s="78"/>
    </row>
    <row r="540" spans="1:15">
      <c r="A540" s="78"/>
      <c r="B540" s="78"/>
      <c r="M540" s="78"/>
      <c r="N540" s="78"/>
      <c r="O540" s="78"/>
    </row>
    <row r="541" spans="1:15">
      <c r="A541" s="78"/>
      <c r="B541" s="78"/>
      <c r="M541" s="78"/>
      <c r="N541" s="78"/>
      <c r="O541" s="78"/>
    </row>
    <row r="542" spans="1:15">
      <c r="A542" s="78"/>
      <c r="B542" s="78"/>
      <c r="M542" s="78"/>
      <c r="N542" s="78"/>
      <c r="O542" s="78"/>
    </row>
    <row r="543" spans="1:15">
      <c r="A543" s="78"/>
      <c r="B543" s="78"/>
      <c r="M543" s="78"/>
      <c r="N543" s="78"/>
      <c r="O543" s="78"/>
    </row>
    <row r="544" spans="1:15">
      <c r="A544" s="78"/>
      <c r="B544" s="78"/>
      <c r="M544" s="78"/>
      <c r="N544" s="78"/>
      <c r="O544" s="78"/>
    </row>
    <row r="545" spans="1:15">
      <c r="A545" s="78"/>
      <c r="B545" s="78"/>
      <c r="M545" s="78"/>
      <c r="N545" s="78"/>
      <c r="O545" s="78"/>
    </row>
    <row r="546" spans="1:15">
      <c r="A546" s="78"/>
      <c r="B546" s="78"/>
      <c r="M546" s="78"/>
      <c r="N546" s="78"/>
      <c r="O546" s="78"/>
    </row>
    <row r="547" spans="1:15">
      <c r="A547" s="78"/>
      <c r="B547" s="78"/>
      <c r="M547" s="78"/>
      <c r="N547" s="78"/>
      <c r="O547" s="78"/>
    </row>
    <row r="548" spans="1:15">
      <c r="A548" s="78"/>
      <c r="B548" s="78"/>
      <c r="M548" s="78"/>
      <c r="N548" s="78"/>
      <c r="O548" s="78"/>
    </row>
    <row r="549" spans="1:15">
      <c r="A549" s="78"/>
      <c r="B549" s="78"/>
      <c r="M549" s="78"/>
      <c r="N549" s="78"/>
      <c r="O549" s="78"/>
    </row>
    <row r="550" spans="1:15">
      <c r="A550" s="78"/>
      <c r="B550" s="78"/>
      <c r="M550" s="78"/>
      <c r="N550" s="78"/>
      <c r="O550" s="78"/>
    </row>
    <row r="551" spans="1:15">
      <c r="A551" s="78"/>
      <c r="B551" s="78"/>
      <c r="M551" s="78"/>
      <c r="N551" s="78"/>
      <c r="O551" s="78"/>
    </row>
    <row r="552" spans="1:15">
      <c r="A552" s="78"/>
      <c r="B552" s="78"/>
      <c r="M552" s="78"/>
      <c r="N552" s="78"/>
      <c r="O552" s="78"/>
    </row>
    <row r="553" spans="1:15">
      <c r="A553" s="78"/>
      <c r="B553" s="78"/>
      <c r="M553" s="78"/>
      <c r="N553" s="78"/>
      <c r="O553" s="78"/>
    </row>
    <row r="554" spans="1:15">
      <c r="A554" s="78"/>
      <c r="B554" s="78"/>
      <c r="M554" s="78"/>
      <c r="N554" s="78"/>
      <c r="O554" s="78"/>
    </row>
    <row r="555" spans="1:15">
      <c r="A555" s="78"/>
      <c r="B555" s="78"/>
      <c r="M555" s="78"/>
      <c r="N555" s="78"/>
      <c r="O555" s="78"/>
    </row>
    <row r="556" spans="1:15">
      <c r="A556" s="78"/>
      <c r="B556" s="78"/>
      <c r="M556" s="78"/>
      <c r="N556" s="78"/>
      <c r="O556" s="78"/>
    </row>
    <row r="557" spans="1:15">
      <c r="A557" s="78"/>
      <c r="B557" s="78"/>
      <c r="M557" s="78"/>
      <c r="N557" s="78"/>
      <c r="O557" s="78"/>
    </row>
    <row r="558" spans="1:15">
      <c r="A558" s="78"/>
      <c r="B558" s="78"/>
      <c r="M558" s="78"/>
      <c r="N558" s="78"/>
      <c r="O558" s="78"/>
    </row>
    <row r="559" spans="1:15">
      <c r="A559" s="78"/>
      <c r="B559" s="78"/>
      <c r="M559" s="78"/>
      <c r="N559" s="78"/>
      <c r="O559" s="78"/>
    </row>
    <row r="560" spans="1:15">
      <c r="A560" s="78"/>
      <c r="B560" s="78"/>
      <c r="M560" s="78"/>
      <c r="N560" s="78"/>
      <c r="O560" s="78"/>
    </row>
    <row r="561" spans="1:15">
      <c r="A561" s="78"/>
      <c r="B561" s="78"/>
      <c r="M561" s="78"/>
      <c r="N561" s="78"/>
      <c r="O561" s="78"/>
    </row>
    <row r="562" spans="1:15">
      <c r="A562" s="78"/>
      <c r="B562" s="78"/>
      <c r="M562" s="78"/>
      <c r="N562" s="78"/>
      <c r="O562" s="78"/>
    </row>
    <row r="563" spans="1:15">
      <c r="A563" s="78"/>
      <c r="B563" s="78"/>
      <c r="M563" s="78"/>
      <c r="N563" s="78"/>
      <c r="O563" s="78"/>
    </row>
    <row r="564" spans="1:15">
      <c r="A564" s="78"/>
      <c r="B564" s="78"/>
      <c r="M564" s="78"/>
      <c r="N564" s="78"/>
      <c r="O564" s="78"/>
    </row>
    <row r="565" spans="1:15">
      <c r="A565" s="78"/>
      <c r="B565" s="78"/>
      <c r="M565" s="78"/>
      <c r="N565" s="78"/>
      <c r="O565" s="78"/>
    </row>
    <row r="566" spans="1:15">
      <c r="A566" s="78"/>
      <c r="B566" s="78"/>
      <c r="M566" s="78"/>
      <c r="N566" s="78"/>
      <c r="O566" s="78"/>
    </row>
    <row r="567" spans="1:15">
      <c r="A567" s="78"/>
      <c r="B567" s="78"/>
      <c r="M567" s="78"/>
      <c r="N567" s="78"/>
      <c r="O567" s="78"/>
    </row>
    <row r="568" spans="1:15">
      <c r="A568" s="78"/>
      <c r="B568" s="78"/>
      <c r="M568" s="78"/>
      <c r="N568" s="78"/>
      <c r="O568" s="78"/>
    </row>
    <row r="569" spans="1:15">
      <c r="A569" s="78"/>
      <c r="B569" s="78"/>
      <c r="M569" s="78"/>
      <c r="N569" s="78"/>
      <c r="O569" s="78"/>
    </row>
    <row r="570" spans="1:15">
      <c r="A570" s="78"/>
      <c r="B570" s="78"/>
      <c r="M570" s="78"/>
      <c r="N570" s="78"/>
      <c r="O570" s="78"/>
    </row>
    <row r="571" spans="1:15">
      <c r="A571" s="78"/>
      <c r="B571" s="78"/>
      <c r="M571" s="78"/>
      <c r="N571" s="78"/>
      <c r="O571" s="78"/>
    </row>
    <row r="572" spans="1:15">
      <c r="A572" s="78"/>
      <c r="B572" s="78"/>
      <c r="M572" s="78"/>
      <c r="N572" s="78"/>
      <c r="O572" s="78"/>
    </row>
    <row r="573" spans="1:15">
      <c r="A573" s="78"/>
      <c r="B573" s="78"/>
      <c r="M573" s="78"/>
      <c r="N573" s="78"/>
      <c r="O573" s="78"/>
    </row>
    <row r="574" spans="1:15">
      <c r="A574" s="78"/>
      <c r="B574" s="78"/>
      <c r="M574" s="78"/>
      <c r="N574" s="78"/>
      <c r="O574" s="78"/>
    </row>
    <row r="575" spans="1:15">
      <c r="A575" s="78"/>
      <c r="B575" s="78"/>
      <c r="M575" s="78"/>
      <c r="N575" s="78"/>
      <c r="O575" s="78"/>
    </row>
    <row r="576" spans="1:15">
      <c r="A576" s="78"/>
      <c r="B576" s="78"/>
      <c r="M576" s="78"/>
      <c r="N576" s="78"/>
      <c r="O576" s="78"/>
    </row>
    <row r="577" spans="1:15">
      <c r="A577" s="78"/>
      <c r="B577" s="78"/>
      <c r="M577" s="78"/>
      <c r="N577" s="78"/>
      <c r="O577" s="78"/>
    </row>
    <row r="578" spans="1:15">
      <c r="A578" s="78"/>
      <c r="B578" s="78"/>
      <c r="M578" s="78"/>
      <c r="N578" s="78"/>
      <c r="O578" s="78"/>
    </row>
    <row r="579" spans="1:15">
      <c r="A579" s="78"/>
      <c r="B579" s="78"/>
      <c r="M579" s="78"/>
      <c r="N579" s="78"/>
      <c r="O579" s="78"/>
    </row>
    <row r="580" spans="1:15">
      <c r="A580" s="78"/>
      <c r="B580" s="78"/>
      <c r="M580" s="78"/>
      <c r="N580" s="78"/>
      <c r="O580" s="78"/>
    </row>
    <row r="581" spans="1:15">
      <c r="A581" s="78"/>
      <c r="B581" s="78"/>
      <c r="M581" s="78"/>
      <c r="N581" s="78"/>
      <c r="O581" s="78"/>
    </row>
    <row r="582" spans="1:15">
      <c r="A582" s="78"/>
      <c r="B582" s="78"/>
      <c r="M582" s="78"/>
      <c r="N582" s="78"/>
      <c r="O582" s="78"/>
    </row>
    <row r="583" spans="1:15">
      <c r="A583" s="78"/>
      <c r="B583" s="78"/>
      <c r="M583" s="78"/>
      <c r="N583" s="78"/>
      <c r="O583" s="78"/>
    </row>
    <row r="584" spans="1:15">
      <c r="A584" s="78"/>
      <c r="B584" s="78"/>
      <c r="M584" s="78"/>
      <c r="N584" s="78"/>
      <c r="O584" s="78"/>
    </row>
    <row r="585" spans="1:15">
      <c r="A585" s="78"/>
      <c r="B585" s="78"/>
      <c r="M585" s="78"/>
      <c r="N585" s="78"/>
      <c r="O585" s="78"/>
    </row>
    <row r="586" spans="1:15">
      <c r="A586" s="78"/>
      <c r="B586" s="78"/>
      <c r="M586" s="78"/>
      <c r="N586" s="78"/>
      <c r="O586" s="78"/>
    </row>
    <row r="587" spans="1:15">
      <c r="A587" s="78"/>
      <c r="B587" s="78"/>
      <c r="M587" s="78"/>
      <c r="N587" s="78"/>
      <c r="O587" s="78"/>
    </row>
    <row r="588" spans="1:15">
      <c r="A588" s="78"/>
      <c r="B588" s="78"/>
      <c r="M588" s="78"/>
      <c r="N588" s="78"/>
      <c r="O588" s="78"/>
    </row>
    <row r="589" spans="1:15">
      <c r="A589" s="78"/>
      <c r="B589" s="78"/>
      <c r="M589" s="78"/>
      <c r="N589" s="78"/>
      <c r="O589" s="78"/>
    </row>
    <row r="590" spans="1:15">
      <c r="A590" s="78"/>
      <c r="B590" s="78"/>
      <c r="M590" s="78"/>
      <c r="N590" s="78"/>
      <c r="O590" s="78"/>
    </row>
    <row r="591" spans="1:15">
      <c r="A591" s="78"/>
      <c r="B591" s="78"/>
      <c r="M591" s="78"/>
      <c r="N591" s="78"/>
      <c r="O591" s="78"/>
    </row>
    <row r="592" spans="1:15">
      <c r="A592" s="78"/>
      <c r="B592" s="78"/>
      <c r="M592" s="78"/>
      <c r="N592" s="78"/>
      <c r="O592" s="78"/>
    </row>
    <row r="593" spans="1:15">
      <c r="A593" s="78"/>
      <c r="B593" s="78"/>
      <c r="M593" s="78"/>
      <c r="N593" s="78"/>
      <c r="O593" s="78"/>
    </row>
    <row r="594" spans="1:15">
      <c r="A594" s="78"/>
      <c r="B594" s="78"/>
      <c r="M594" s="78"/>
      <c r="N594" s="78"/>
      <c r="O594" s="78"/>
    </row>
    <row r="595" spans="1:15">
      <c r="A595" s="78"/>
      <c r="B595" s="78"/>
      <c r="M595" s="78"/>
      <c r="N595" s="78"/>
      <c r="O595" s="78"/>
    </row>
    <row r="596" spans="1:15">
      <c r="A596" s="78"/>
      <c r="B596" s="78"/>
      <c r="M596" s="78"/>
      <c r="N596" s="78"/>
      <c r="O596" s="78"/>
    </row>
    <row r="597" spans="1:15">
      <c r="A597" s="78"/>
      <c r="B597" s="78"/>
      <c r="M597" s="78"/>
      <c r="N597" s="78"/>
      <c r="O597" s="78"/>
    </row>
    <row r="598" spans="1:15">
      <c r="A598" s="78"/>
      <c r="B598" s="78"/>
      <c r="M598" s="78"/>
      <c r="N598" s="78"/>
      <c r="O598" s="78"/>
    </row>
    <row r="599" spans="1:15">
      <c r="A599" s="78"/>
      <c r="B599" s="78"/>
      <c r="M599" s="78"/>
      <c r="N599" s="78"/>
      <c r="O599" s="78"/>
    </row>
    <row r="600" spans="1:15">
      <c r="A600" s="78"/>
      <c r="B600" s="78"/>
      <c r="M600" s="78"/>
      <c r="N600" s="78"/>
      <c r="O600" s="78"/>
    </row>
    <row r="601" spans="1:15">
      <c r="A601" s="78"/>
      <c r="B601" s="78"/>
      <c r="M601" s="78"/>
      <c r="N601" s="78"/>
      <c r="O601" s="78"/>
    </row>
    <row r="602" spans="1:15">
      <c r="A602" s="78"/>
      <c r="B602" s="78"/>
      <c r="M602" s="78"/>
      <c r="N602" s="78"/>
      <c r="O602" s="78"/>
    </row>
    <row r="603" spans="1:15">
      <c r="A603" s="78"/>
      <c r="B603" s="78"/>
      <c r="M603" s="78"/>
      <c r="N603" s="78"/>
      <c r="O603" s="78"/>
    </row>
    <row r="604" spans="1:15">
      <c r="A604" s="78"/>
      <c r="B604" s="78"/>
      <c r="M604" s="78"/>
      <c r="N604" s="78"/>
      <c r="O604" s="78"/>
    </row>
    <row r="605" spans="1:15">
      <c r="A605" s="78"/>
      <c r="B605" s="78"/>
      <c r="M605" s="78"/>
      <c r="N605" s="78"/>
      <c r="O605" s="78"/>
    </row>
    <row r="606" spans="1:15">
      <c r="A606" s="78"/>
      <c r="B606" s="78"/>
      <c r="M606" s="78"/>
      <c r="N606" s="78"/>
      <c r="O606" s="78"/>
    </row>
    <row r="607" spans="1:15">
      <c r="A607" s="78"/>
      <c r="B607" s="78"/>
      <c r="M607" s="78"/>
      <c r="N607" s="78"/>
      <c r="O607" s="78"/>
    </row>
    <row r="608" spans="1:15">
      <c r="A608" s="78"/>
      <c r="B608" s="78"/>
      <c r="M608" s="78"/>
      <c r="N608" s="78"/>
      <c r="O608" s="78"/>
    </row>
    <row r="609" spans="1:15">
      <c r="A609" s="78"/>
      <c r="B609" s="78"/>
      <c r="M609" s="78"/>
      <c r="N609" s="78"/>
      <c r="O609" s="78"/>
    </row>
    <row r="610" spans="1:15">
      <c r="A610" s="78"/>
      <c r="B610" s="78"/>
      <c r="M610" s="78"/>
      <c r="N610" s="78"/>
      <c r="O610" s="78"/>
    </row>
    <row r="611" spans="1:15">
      <c r="A611" s="78"/>
      <c r="B611" s="78"/>
      <c r="M611" s="78"/>
      <c r="N611" s="78"/>
      <c r="O611" s="78"/>
    </row>
    <row r="612" spans="1:15">
      <c r="A612" s="78"/>
      <c r="B612" s="78"/>
      <c r="M612" s="78"/>
      <c r="N612" s="78"/>
      <c r="O612" s="78"/>
    </row>
    <row r="613" spans="1:15">
      <c r="A613" s="78"/>
      <c r="B613" s="78"/>
      <c r="M613" s="78"/>
      <c r="N613" s="78"/>
      <c r="O613" s="78"/>
    </row>
    <row r="614" spans="1:15">
      <c r="A614" s="78"/>
      <c r="B614" s="78"/>
      <c r="M614" s="78"/>
      <c r="N614" s="78"/>
      <c r="O614" s="78"/>
    </row>
    <row r="615" spans="1:15">
      <c r="A615" s="78"/>
      <c r="B615" s="78"/>
      <c r="M615" s="78"/>
      <c r="N615" s="78"/>
      <c r="O615" s="78"/>
    </row>
    <row r="616" spans="1:15">
      <c r="A616" s="78"/>
      <c r="B616" s="78"/>
      <c r="M616" s="78"/>
      <c r="N616" s="78"/>
      <c r="O616" s="78"/>
    </row>
    <row r="617" spans="1:15">
      <c r="A617" s="78"/>
      <c r="B617" s="78"/>
      <c r="M617" s="78"/>
      <c r="N617" s="78"/>
      <c r="O617" s="78"/>
    </row>
    <row r="618" spans="1:15">
      <c r="A618" s="78"/>
      <c r="B618" s="78"/>
      <c r="M618" s="78"/>
      <c r="N618" s="78"/>
      <c r="O618" s="78"/>
    </row>
    <row r="619" spans="1:15">
      <c r="A619" s="78"/>
      <c r="B619" s="78"/>
      <c r="M619" s="78"/>
      <c r="N619" s="78"/>
      <c r="O619" s="78"/>
    </row>
    <row r="620" spans="1:15">
      <c r="A620" s="78"/>
      <c r="B620" s="78"/>
      <c r="M620" s="78"/>
      <c r="N620" s="78"/>
      <c r="O620" s="78"/>
    </row>
    <row r="621" spans="1:15">
      <c r="A621" s="78"/>
      <c r="B621" s="78"/>
      <c r="M621" s="78"/>
      <c r="N621" s="78"/>
      <c r="O621" s="78"/>
    </row>
    <row r="622" spans="1:15">
      <c r="A622" s="78"/>
      <c r="B622" s="78"/>
      <c r="M622" s="78"/>
      <c r="N622" s="78"/>
      <c r="O622" s="78"/>
    </row>
    <row r="623" spans="1:15">
      <c r="A623" s="78"/>
      <c r="B623" s="78"/>
      <c r="M623" s="78"/>
      <c r="N623" s="78"/>
      <c r="O623" s="78"/>
    </row>
    <row r="624" spans="1:15">
      <c r="A624" s="78"/>
      <c r="B624" s="78"/>
      <c r="M624" s="78"/>
      <c r="N624" s="78"/>
      <c r="O624" s="78"/>
    </row>
    <row r="625" spans="1:15">
      <c r="A625" s="78"/>
      <c r="B625" s="78"/>
      <c r="M625" s="78"/>
      <c r="N625" s="78"/>
      <c r="O625" s="78"/>
    </row>
    <row r="626" spans="1:15">
      <c r="A626" s="78"/>
      <c r="B626" s="78"/>
      <c r="M626" s="78"/>
      <c r="N626" s="78"/>
      <c r="O626" s="78"/>
    </row>
    <row r="627" spans="1:15">
      <c r="A627" s="78"/>
      <c r="B627" s="78"/>
      <c r="M627" s="78"/>
      <c r="N627" s="78"/>
      <c r="O627" s="78"/>
    </row>
    <row r="628" spans="1:15">
      <c r="A628" s="78"/>
      <c r="B628" s="78"/>
      <c r="M628" s="78"/>
      <c r="N628" s="78"/>
      <c r="O628" s="78"/>
    </row>
    <row r="629" spans="1:15">
      <c r="A629" s="78"/>
      <c r="B629" s="78"/>
      <c r="M629" s="78"/>
      <c r="N629" s="78"/>
      <c r="O629" s="78"/>
    </row>
    <row r="630" spans="1:15">
      <c r="A630" s="78"/>
      <c r="B630" s="78"/>
      <c r="M630" s="78"/>
      <c r="N630" s="78"/>
      <c r="O630" s="78"/>
    </row>
    <row r="631" spans="1:15">
      <c r="A631" s="78"/>
      <c r="B631" s="78"/>
      <c r="M631" s="78"/>
      <c r="N631" s="78"/>
      <c r="O631" s="78"/>
    </row>
    <row r="632" spans="1:15">
      <c r="A632" s="78"/>
      <c r="B632" s="78"/>
      <c r="M632" s="78"/>
      <c r="N632" s="78"/>
      <c r="O632" s="78"/>
    </row>
    <row r="633" spans="1:15">
      <c r="A633" s="78"/>
      <c r="B633" s="78"/>
      <c r="M633" s="78"/>
      <c r="N633" s="78"/>
      <c r="O633" s="78"/>
    </row>
    <row r="634" spans="1:15">
      <c r="A634" s="78"/>
      <c r="B634" s="78"/>
      <c r="M634" s="78"/>
      <c r="N634" s="78"/>
      <c r="O634" s="78"/>
    </row>
    <row r="635" spans="1:15">
      <c r="A635" s="78"/>
      <c r="B635" s="78"/>
      <c r="M635" s="78"/>
      <c r="N635" s="78"/>
      <c r="O635" s="78"/>
    </row>
    <row r="636" spans="1:15">
      <c r="A636" s="78"/>
      <c r="B636" s="78"/>
      <c r="M636" s="78"/>
      <c r="N636" s="78"/>
      <c r="O636" s="78"/>
    </row>
    <row r="637" spans="1:15">
      <c r="A637" s="78"/>
      <c r="B637" s="78"/>
      <c r="M637" s="78"/>
      <c r="N637" s="78"/>
      <c r="O637" s="78"/>
    </row>
    <row r="638" spans="1:15">
      <c r="A638" s="78"/>
      <c r="B638" s="78"/>
      <c r="M638" s="78"/>
      <c r="N638" s="78"/>
      <c r="O638" s="78"/>
    </row>
    <row r="639" spans="1:15">
      <c r="A639" s="78"/>
      <c r="B639" s="78"/>
      <c r="M639" s="78"/>
      <c r="N639" s="78"/>
      <c r="O639" s="78"/>
    </row>
    <row r="640" spans="1:15">
      <c r="A640" s="78"/>
      <c r="B640" s="78"/>
      <c r="M640" s="78"/>
      <c r="N640" s="78"/>
      <c r="O640" s="78"/>
    </row>
    <row r="641" spans="1:15">
      <c r="A641" s="78"/>
      <c r="B641" s="78"/>
      <c r="M641" s="78"/>
      <c r="N641" s="78"/>
      <c r="O641" s="78"/>
    </row>
    <row r="642" spans="1:15">
      <c r="A642" s="78"/>
      <c r="B642" s="78"/>
      <c r="M642" s="78"/>
      <c r="N642" s="78"/>
      <c r="O642" s="78"/>
    </row>
    <row r="643" spans="1:15">
      <c r="A643" s="78"/>
      <c r="B643" s="78"/>
      <c r="M643" s="78"/>
      <c r="N643" s="78"/>
      <c r="O643" s="78"/>
    </row>
    <row r="644" spans="1:15">
      <c r="A644" s="78"/>
      <c r="B644" s="78"/>
      <c r="M644" s="78"/>
      <c r="N644" s="78"/>
      <c r="O644" s="78"/>
    </row>
    <row r="645" spans="1:15">
      <c r="A645" s="78"/>
      <c r="B645" s="78"/>
      <c r="M645" s="78"/>
      <c r="N645" s="78"/>
      <c r="O645" s="78"/>
    </row>
    <row r="646" spans="1:15">
      <c r="A646" s="78"/>
      <c r="B646" s="78"/>
      <c r="M646" s="78"/>
      <c r="N646" s="78"/>
      <c r="O646" s="78"/>
    </row>
    <row r="647" spans="1:15">
      <c r="A647" s="78"/>
      <c r="B647" s="78"/>
      <c r="M647" s="78"/>
      <c r="N647" s="78"/>
      <c r="O647" s="78"/>
    </row>
    <row r="648" spans="1:15">
      <c r="A648" s="78"/>
      <c r="B648" s="78"/>
      <c r="M648" s="78"/>
      <c r="N648" s="78"/>
      <c r="O648" s="78"/>
    </row>
    <row r="649" spans="1:15">
      <c r="A649" s="78"/>
      <c r="B649" s="78"/>
      <c r="M649" s="78"/>
      <c r="N649" s="78"/>
      <c r="O649" s="78"/>
    </row>
    <row r="650" spans="1:15">
      <c r="A650" s="78"/>
      <c r="B650" s="78"/>
      <c r="M650" s="78"/>
      <c r="N650" s="78"/>
      <c r="O650" s="78"/>
    </row>
    <row r="651" spans="1:15">
      <c r="A651" s="78"/>
      <c r="B651" s="78"/>
      <c r="M651" s="78"/>
      <c r="N651" s="78"/>
      <c r="O651" s="78"/>
    </row>
    <row r="652" spans="1:15">
      <c r="A652" s="78"/>
      <c r="B652" s="78"/>
      <c r="M652" s="78"/>
      <c r="N652" s="78"/>
      <c r="O652" s="78"/>
    </row>
    <row r="653" spans="1:15">
      <c r="A653" s="78"/>
      <c r="B653" s="78"/>
      <c r="M653" s="78"/>
      <c r="N653" s="78"/>
      <c r="O653" s="78"/>
    </row>
    <row r="654" spans="1:15">
      <c r="A654" s="78"/>
      <c r="B654" s="78"/>
      <c r="M654" s="78"/>
      <c r="N654" s="78"/>
      <c r="O654" s="78"/>
    </row>
    <row r="655" spans="1:15">
      <c r="A655" s="78"/>
      <c r="B655" s="78"/>
      <c r="M655" s="78"/>
      <c r="N655" s="78"/>
      <c r="O655" s="78"/>
    </row>
    <row r="656" spans="1:15">
      <c r="A656" s="78"/>
      <c r="B656" s="78"/>
      <c r="M656" s="78"/>
      <c r="N656" s="78"/>
      <c r="O656" s="78"/>
    </row>
    <row r="657" spans="1:15">
      <c r="A657" s="78"/>
      <c r="B657" s="78"/>
      <c r="M657" s="78"/>
      <c r="N657" s="78"/>
      <c r="O657" s="78"/>
    </row>
    <row r="658" spans="1:15">
      <c r="A658" s="78"/>
      <c r="B658" s="78"/>
      <c r="M658" s="78"/>
      <c r="N658" s="78"/>
      <c r="O658" s="78"/>
    </row>
    <row r="659" spans="1:15">
      <c r="A659" s="78"/>
      <c r="B659" s="78"/>
      <c r="M659" s="78"/>
      <c r="N659" s="78"/>
      <c r="O659" s="78"/>
    </row>
    <row r="660" spans="1:15">
      <c r="A660" s="78"/>
      <c r="B660" s="78"/>
      <c r="M660" s="78"/>
      <c r="N660" s="78"/>
      <c r="O660" s="78"/>
    </row>
    <row r="661" spans="1:15">
      <c r="A661" s="78"/>
      <c r="B661" s="78"/>
      <c r="M661" s="78"/>
      <c r="N661" s="78"/>
      <c r="O661" s="78"/>
    </row>
    <row r="662" spans="1:15">
      <c r="A662" s="78"/>
      <c r="B662" s="78"/>
      <c r="M662" s="78"/>
      <c r="N662" s="78"/>
      <c r="O662" s="78"/>
    </row>
    <row r="663" spans="1:15">
      <c r="A663" s="78"/>
      <c r="B663" s="78"/>
      <c r="M663" s="78"/>
      <c r="N663" s="78"/>
      <c r="O663" s="78"/>
    </row>
    <row r="664" spans="1:15">
      <c r="A664" s="78"/>
      <c r="B664" s="78"/>
      <c r="M664" s="78"/>
      <c r="N664" s="78"/>
      <c r="O664" s="78"/>
    </row>
    <row r="665" spans="1:15">
      <c r="A665" s="78"/>
      <c r="B665" s="78"/>
      <c r="M665" s="78"/>
      <c r="N665" s="78"/>
      <c r="O665" s="78"/>
    </row>
    <row r="666" spans="1:15">
      <c r="A666" s="78"/>
      <c r="B666" s="78"/>
      <c r="M666" s="78"/>
      <c r="N666" s="78"/>
      <c r="O666" s="78"/>
    </row>
    <row r="667" spans="1:15">
      <c r="A667" s="78"/>
      <c r="B667" s="78"/>
      <c r="M667" s="78"/>
      <c r="N667" s="78"/>
      <c r="O667" s="78"/>
    </row>
    <row r="668" spans="1:15">
      <c r="A668" s="78"/>
      <c r="B668" s="78"/>
      <c r="M668" s="78"/>
      <c r="N668" s="78"/>
      <c r="O668" s="78"/>
    </row>
    <row r="669" spans="1:15">
      <c r="A669" s="78"/>
      <c r="B669" s="78"/>
      <c r="M669" s="78"/>
      <c r="N669" s="78"/>
      <c r="O669" s="78"/>
    </row>
    <row r="670" spans="1:15">
      <c r="A670" s="78"/>
      <c r="B670" s="78"/>
      <c r="M670" s="78"/>
      <c r="N670" s="78"/>
      <c r="O670" s="78"/>
    </row>
    <row r="671" spans="1:15">
      <c r="A671" s="78"/>
      <c r="B671" s="78"/>
      <c r="M671" s="78"/>
      <c r="N671" s="78"/>
      <c r="O671" s="78"/>
    </row>
    <row r="672" spans="1:15">
      <c r="A672" s="78"/>
      <c r="B672" s="78"/>
      <c r="M672" s="78"/>
      <c r="N672" s="78"/>
      <c r="O672" s="78"/>
    </row>
    <row r="673" spans="1:15">
      <c r="A673" s="78"/>
      <c r="B673" s="78"/>
      <c r="M673" s="78"/>
      <c r="N673" s="78"/>
      <c r="O673" s="78"/>
    </row>
    <row r="674" spans="1:15">
      <c r="A674" s="78"/>
      <c r="B674" s="78"/>
      <c r="M674" s="78"/>
      <c r="N674" s="78"/>
      <c r="O674" s="78"/>
    </row>
    <row r="675" spans="1:15">
      <c r="A675" s="78"/>
      <c r="B675" s="78"/>
      <c r="M675" s="78"/>
      <c r="N675" s="78"/>
      <c r="O675" s="78"/>
    </row>
    <row r="676" spans="1:15">
      <c r="A676" s="78"/>
      <c r="B676" s="78"/>
      <c r="M676" s="78"/>
      <c r="N676" s="78"/>
      <c r="O676" s="78"/>
    </row>
    <row r="677" spans="1:15">
      <c r="A677" s="78"/>
      <c r="B677" s="78"/>
      <c r="M677" s="78"/>
      <c r="N677" s="78"/>
      <c r="O677" s="78"/>
    </row>
    <row r="678" spans="1:15">
      <c r="A678" s="78"/>
      <c r="B678" s="78"/>
      <c r="M678" s="78"/>
      <c r="N678" s="78"/>
      <c r="O678" s="78"/>
    </row>
    <row r="679" spans="1:15">
      <c r="A679" s="78"/>
      <c r="B679" s="78"/>
      <c r="M679" s="78"/>
      <c r="N679" s="78"/>
      <c r="O679" s="78"/>
    </row>
    <row r="680" spans="1:15">
      <c r="A680" s="78"/>
      <c r="B680" s="78"/>
      <c r="M680" s="78"/>
      <c r="N680" s="78"/>
      <c r="O680" s="78"/>
    </row>
    <row r="681" spans="1:15">
      <c r="A681" s="78"/>
      <c r="B681" s="78"/>
      <c r="M681" s="78"/>
      <c r="N681" s="78"/>
      <c r="O681" s="78"/>
    </row>
    <row r="682" spans="1:15">
      <c r="A682" s="78"/>
      <c r="B682" s="78"/>
      <c r="M682" s="78"/>
      <c r="N682" s="78"/>
      <c r="O682" s="78"/>
    </row>
    <row r="683" spans="1:15">
      <c r="A683" s="78"/>
      <c r="B683" s="78"/>
      <c r="M683" s="78"/>
      <c r="N683" s="78"/>
      <c r="O683" s="78"/>
    </row>
    <row r="684" spans="1:15">
      <c r="A684" s="78"/>
      <c r="B684" s="78"/>
      <c r="M684" s="78"/>
      <c r="N684" s="78"/>
      <c r="O684" s="78"/>
    </row>
    <row r="685" spans="1:15">
      <c r="A685" s="78"/>
      <c r="B685" s="78"/>
      <c r="M685" s="78"/>
      <c r="N685" s="78"/>
      <c r="O685" s="78"/>
    </row>
    <row r="686" spans="1:15">
      <c r="A686" s="78"/>
      <c r="B686" s="78"/>
      <c r="M686" s="78"/>
      <c r="N686" s="78"/>
      <c r="O686" s="78"/>
    </row>
    <row r="687" spans="1:15">
      <c r="A687" s="78"/>
      <c r="B687" s="78"/>
      <c r="M687" s="78"/>
      <c r="N687" s="78"/>
      <c r="O687" s="78"/>
    </row>
    <row r="688" spans="1:15">
      <c r="A688" s="78"/>
      <c r="B688" s="78"/>
      <c r="M688" s="78"/>
      <c r="N688" s="78"/>
      <c r="O688" s="78"/>
    </row>
    <row r="689" spans="1:15">
      <c r="A689" s="78"/>
      <c r="B689" s="78"/>
      <c r="M689" s="78"/>
      <c r="N689" s="78"/>
      <c r="O689" s="78"/>
    </row>
    <row r="690" spans="1:15">
      <c r="A690" s="78"/>
      <c r="B690" s="78"/>
      <c r="M690" s="78"/>
      <c r="N690" s="78"/>
      <c r="O690" s="78"/>
    </row>
    <row r="691" spans="1:15">
      <c r="A691" s="78"/>
      <c r="B691" s="78"/>
      <c r="M691" s="78"/>
      <c r="N691" s="78"/>
      <c r="O691" s="78"/>
    </row>
    <row r="692" spans="1:15">
      <c r="A692" s="78"/>
      <c r="B692" s="78"/>
      <c r="M692" s="78"/>
      <c r="N692" s="78"/>
      <c r="O692" s="78"/>
    </row>
    <row r="693" spans="1:15">
      <c r="A693" s="78"/>
      <c r="B693" s="78"/>
      <c r="M693" s="78"/>
      <c r="N693" s="78"/>
      <c r="O693" s="78"/>
    </row>
    <row r="694" spans="1:15">
      <c r="A694" s="78"/>
      <c r="B694" s="78"/>
      <c r="M694" s="78"/>
      <c r="N694" s="78"/>
      <c r="O694" s="78"/>
    </row>
    <row r="695" spans="1:15">
      <c r="A695" s="78"/>
      <c r="B695" s="78"/>
      <c r="M695" s="78"/>
      <c r="N695" s="78"/>
      <c r="O695" s="78"/>
    </row>
    <row r="696" spans="1:15">
      <c r="A696" s="78"/>
      <c r="B696" s="78"/>
      <c r="M696" s="78"/>
      <c r="N696" s="78"/>
      <c r="O696" s="78"/>
    </row>
    <row r="697" spans="1:15">
      <c r="A697" s="78"/>
      <c r="B697" s="78"/>
      <c r="M697" s="78"/>
      <c r="N697" s="78"/>
      <c r="O697" s="78"/>
    </row>
    <row r="698" spans="1:15">
      <c r="A698" s="78"/>
      <c r="B698" s="78"/>
      <c r="M698" s="78"/>
      <c r="N698" s="78"/>
      <c r="O698" s="78"/>
    </row>
    <row r="699" spans="1:15">
      <c r="A699" s="78"/>
      <c r="B699" s="78"/>
      <c r="M699" s="78"/>
      <c r="N699" s="78"/>
      <c r="O699" s="78"/>
    </row>
    <row r="700" spans="1:15">
      <c r="A700" s="78"/>
      <c r="B700" s="78"/>
      <c r="M700" s="78"/>
      <c r="N700" s="78"/>
      <c r="O700" s="78"/>
    </row>
    <row r="701" spans="1:15">
      <c r="A701" s="78"/>
      <c r="B701" s="78"/>
      <c r="M701" s="78"/>
      <c r="N701" s="78"/>
      <c r="O701" s="78"/>
    </row>
    <row r="702" spans="1:15">
      <c r="A702" s="78"/>
      <c r="B702" s="78"/>
      <c r="M702" s="78"/>
      <c r="N702" s="78"/>
      <c r="O702" s="78"/>
    </row>
    <row r="703" spans="1:15">
      <c r="A703" s="78"/>
      <c r="B703" s="78"/>
      <c r="M703" s="78"/>
      <c r="N703" s="78"/>
      <c r="O703" s="78"/>
    </row>
    <row r="704" spans="1:15">
      <c r="A704" s="78"/>
      <c r="B704" s="78"/>
      <c r="M704" s="78"/>
      <c r="N704" s="78"/>
      <c r="O704" s="78"/>
    </row>
    <row r="705" spans="1:15">
      <c r="A705" s="78"/>
      <c r="B705" s="78"/>
      <c r="M705" s="78"/>
      <c r="N705" s="78"/>
      <c r="O705" s="78"/>
    </row>
    <row r="706" spans="1:15">
      <c r="A706" s="78"/>
      <c r="B706" s="78"/>
      <c r="M706" s="78"/>
      <c r="N706" s="78"/>
      <c r="O706" s="78"/>
    </row>
    <row r="707" spans="1:15">
      <c r="A707" s="78"/>
      <c r="B707" s="78"/>
      <c r="M707" s="78"/>
      <c r="N707" s="78"/>
      <c r="O707" s="78"/>
    </row>
    <row r="708" spans="1:15">
      <c r="A708" s="78"/>
      <c r="B708" s="78"/>
      <c r="M708" s="78"/>
      <c r="N708" s="78"/>
      <c r="O708" s="78"/>
    </row>
    <row r="709" spans="1:15">
      <c r="A709" s="78"/>
      <c r="B709" s="78"/>
      <c r="M709" s="78"/>
      <c r="N709" s="78"/>
      <c r="O709" s="78"/>
    </row>
    <row r="710" spans="1:15">
      <c r="A710" s="78"/>
      <c r="B710" s="78"/>
      <c r="M710" s="78"/>
      <c r="N710" s="78"/>
      <c r="O710" s="78"/>
    </row>
    <row r="711" spans="1:15">
      <c r="A711" s="78"/>
      <c r="B711" s="78"/>
      <c r="M711" s="78"/>
      <c r="N711" s="78"/>
      <c r="O711" s="78"/>
    </row>
    <row r="712" spans="1:15">
      <c r="A712" s="78"/>
      <c r="B712" s="78"/>
      <c r="M712" s="78"/>
      <c r="N712" s="78"/>
      <c r="O712" s="78"/>
    </row>
    <row r="713" spans="1:15">
      <c r="A713" s="78"/>
      <c r="B713" s="78"/>
      <c r="M713" s="78"/>
      <c r="N713" s="78"/>
      <c r="O713" s="78"/>
    </row>
    <row r="714" spans="1:15">
      <c r="A714" s="78"/>
      <c r="B714" s="78"/>
      <c r="M714" s="78"/>
      <c r="N714" s="78"/>
      <c r="O714" s="78"/>
    </row>
    <row r="715" spans="1:15">
      <c r="A715" s="78"/>
      <c r="B715" s="78"/>
      <c r="M715" s="78"/>
      <c r="N715" s="78"/>
      <c r="O715" s="78"/>
    </row>
    <row r="716" spans="1:15">
      <c r="A716" s="78"/>
      <c r="B716" s="78"/>
      <c r="M716" s="78"/>
      <c r="N716" s="78"/>
      <c r="O716" s="78"/>
    </row>
    <row r="717" spans="1:15">
      <c r="A717" s="78"/>
      <c r="B717" s="78"/>
      <c r="M717" s="78"/>
      <c r="N717" s="78"/>
      <c r="O717" s="78"/>
    </row>
    <row r="718" spans="1:15">
      <c r="A718" s="78"/>
      <c r="B718" s="78"/>
      <c r="M718" s="78"/>
      <c r="N718" s="78"/>
      <c r="O718" s="78"/>
    </row>
    <row r="719" spans="1:15">
      <c r="A719" s="78"/>
      <c r="B719" s="78"/>
      <c r="M719" s="78"/>
      <c r="N719" s="78"/>
      <c r="O719" s="78"/>
    </row>
    <row r="720" spans="1:15">
      <c r="A720" s="78"/>
      <c r="B720" s="78"/>
      <c r="M720" s="78"/>
      <c r="N720" s="78"/>
      <c r="O720" s="78"/>
    </row>
    <row r="721" spans="1:15">
      <c r="A721" s="78"/>
      <c r="B721" s="78"/>
      <c r="M721" s="78"/>
      <c r="N721" s="78"/>
      <c r="O721" s="78"/>
    </row>
    <row r="722" spans="1:15">
      <c r="A722" s="78"/>
      <c r="B722" s="78"/>
      <c r="M722" s="78"/>
      <c r="N722" s="78"/>
      <c r="O722" s="78"/>
    </row>
    <row r="723" spans="1:15">
      <c r="A723" s="78"/>
      <c r="B723" s="78"/>
      <c r="M723" s="78"/>
      <c r="N723" s="78"/>
      <c r="O723" s="78"/>
    </row>
    <row r="724" spans="1:15">
      <c r="A724" s="78"/>
      <c r="B724" s="78"/>
      <c r="M724" s="78"/>
      <c r="N724" s="78"/>
      <c r="O724" s="78"/>
    </row>
    <row r="725" spans="1:15">
      <c r="A725" s="78"/>
      <c r="B725" s="78"/>
      <c r="M725" s="78"/>
      <c r="N725" s="78"/>
      <c r="O725" s="78"/>
    </row>
    <row r="726" spans="1:15">
      <c r="A726" s="78"/>
      <c r="B726" s="78"/>
      <c r="M726" s="78"/>
      <c r="N726" s="78"/>
      <c r="O726" s="78"/>
    </row>
    <row r="727" spans="1:15">
      <c r="A727" s="78"/>
      <c r="B727" s="78"/>
      <c r="M727" s="78"/>
      <c r="N727" s="78"/>
      <c r="O727" s="78"/>
    </row>
    <row r="728" spans="1:15">
      <c r="A728" s="78"/>
      <c r="B728" s="78"/>
      <c r="M728" s="78"/>
      <c r="N728" s="78"/>
      <c r="O728" s="78"/>
    </row>
    <row r="729" spans="1:15">
      <c r="A729" s="78"/>
      <c r="B729" s="78"/>
      <c r="M729" s="78"/>
      <c r="N729" s="78"/>
      <c r="O729" s="78"/>
    </row>
    <row r="730" spans="1:15">
      <c r="A730" s="78"/>
      <c r="B730" s="78"/>
      <c r="M730" s="78"/>
      <c r="N730" s="78"/>
      <c r="O730" s="78"/>
    </row>
    <row r="731" spans="1:15">
      <c r="A731" s="78"/>
      <c r="B731" s="78"/>
      <c r="M731" s="78"/>
      <c r="N731" s="78"/>
      <c r="O731" s="78"/>
    </row>
    <row r="732" spans="1:15">
      <c r="A732" s="78"/>
      <c r="B732" s="78"/>
      <c r="M732" s="78"/>
      <c r="N732" s="78"/>
      <c r="O732" s="78"/>
    </row>
    <row r="733" spans="1:15">
      <c r="A733" s="78"/>
      <c r="B733" s="78"/>
      <c r="M733" s="78"/>
      <c r="N733" s="78"/>
      <c r="O733" s="78"/>
    </row>
    <row r="734" spans="1:15">
      <c r="A734" s="78"/>
      <c r="B734" s="78"/>
      <c r="M734" s="78"/>
      <c r="N734" s="78"/>
      <c r="O734" s="78"/>
    </row>
    <row r="735" spans="1:15">
      <c r="A735" s="78"/>
      <c r="B735" s="78"/>
      <c r="M735" s="78"/>
      <c r="N735" s="78"/>
      <c r="O735" s="78"/>
    </row>
    <row r="736" spans="1:15">
      <c r="A736" s="78"/>
      <c r="B736" s="78"/>
      <c r="M736" s="78"/>
      <c r="N736" s="78"/>
      <c r="O736" s="78"/>
    </row>
    <row r="737" spans="1:15">
      <c r="A737" s="78"/>
      <c r="B737" s="78"/>
      <c r="M737" s="78"/>
      <c r="N737" s="78"/>
      <c r="O737" s="78"/>
    </row>
    <row r="738" spans="1:15">
      <c r="A738" s="78"/>
      <c r="B738" s="78"/>
      <c r="M738" s="78"/>
      <c r="N738" s="78"/>
      <c r="O738" s="78"/>
    </row>
    <row r="739" spans="1:15">
      <c r="A739" s="78"/>
      <c r="B739" s="78"/>
      <c r="M739" s="78"/>
      <c r="N739" s="78"/>
      <c r="O739" s="78"/>
    </row>
    <row r="740" spans="1:15">
      <c r="A740" s="78"/>
      <c r="B740" s="78"/>
      <c r="M740" s="78"/>
      <c r="N740" s="78"/>
      <c r="O740" s="78"/>
    </row>
    <row r="741" spans="1:15">
      <c r="A741" s="78"/>
      <c r="B741" s="78"/>
      <c r="M741" s="78"/>
      <c r="N741" s="78"/>
      <c r="O741" s="78"/>
    </row>
    <row r="742" spans="1:15">
      <c r="A742" s="78"/>
      <c r="B742" s="78"/>
      <c r="M742" s="78"/>
      <c r="N742" s="78"/>
      <c r="O742" s="78"/>
    </row>
    <row r="743" spans="1:15">
      <c r="A743" s="78"/>
      <c r="B743" s="78"/>
      <c r="M743" s="78"/>
      <c r="N743" s="78"/>
      <c r="O743" s="78"/>
    </row>
    <row r="744" spans="1:15">
      <c r="A744" s="78"/>
      <c r="B744" s="78"/>
      <c r="M744" s="78"/>
      <c r="N744" s="78"/>
      <c r="O744" s="78"/>
    </row>
    <row r="745" spans="1:15">
      <c r="A745" s="78"/>
      <c r="B745" s="78"/>
      <c r="M745" s="78"/>
      <c r="N745" s="78"/>
      <c r="O745" s="78"/>
    </row>
    <row r="746" spans="1:15">
      <c r="A746" s="78"/>
      <c r="B746" s="78"/>
      <c r="M746" s="78"/>
      <c r="N746" s="78"/>
      <c r="O746" s="78"/>
    </row>
    <row r="747" spans="1:15">
      <c r="A747" s="78"/>
      <c r="B747" s="78"/>
      <c r="M747" s="78"/>
      <c r="N747" s="78"/>
      <c r="O747" s="78"/>
    </row>
    <row r="748" spans="1:15">
      <c r="A748" s="78"/>
      <c r="B748" s="78"/>
      <c r="M748" s="78"/>
      <c r="N748" s="78"/>
      <c r="O748" s="78"/>
    </row>
    <row r="749" spans="1:15">
      <c r="A749" s="78"/>
      <c r="B749" s="78"/>
      <c r="M749" s="78"/>
      <c r="N749" s="78"/>
      <c r="O749" s="78"/>
    </row>
    <row r="750" spans="1:15">
      <c r="A750" s="78"/>
      <c r="B750" s="78"/>
      <c r="M750" s="78"/>
      <c r="N750" s="78"/>
      <c r="O750" s="78"/>
    </row>
    <row r="751" spans="1:15">
      <c r="A751" s="78"/>
      <c r="B751" s="78"/>
      <c r="M751" s="78"/>
      <c r="N751" s="78"/>
      <c r="O751" s="78"/>
    </row>
    <row r="752" spans="1:15">
      <c r="A752" s="78"/>
      <c r="B752" s="78"/>
      <c r="M752" s="78"/>
      <c r="N752" s="78"/>
      <c r="O752" s="78"/>
    </row>
    <row r="753" spans="1:15">
      <c r="A753" s="78"/>
      <c r="B753" s="78"/>
      <c r="M753" s="78"/>
      <c r="N753" s="78"/>
      <c r="O753" s="78"/>
    </row>
    <row r="754" spans="1:15">
      <c r="A754" s="78"/>
      <c r="B754" s="78"/>
      <c r="M754" s="78"/>
      <c r="N754" s="78"/>
      <c r="O754" s="78"/>
    </row>
    <row r="755" spans="1:15">
      <c r="A755" s="78"/>
      <c r="B755" s="78"/>
      <c r="M755" s="78"/>
      <c r="N755" s="78"/>
      <c r="O755" s="78"/>
    </row>
    <row r="756" spans="1:15">
      <c r="A756" s="78"/>
      <c r="B756" s="78"/>
      <c r="M756" s="78"/>
      <c r="N756" s="78"/>
      <c r="O756" s="78"/>
    </row>
    <row r="757" spans="1:15">
      <c r="A757" s="78"/>
      <c r="B757" s="78"/>
      <c r="M757" s="78"/>
      <c r="N757" s="78"/>
      <c r="O757" s="78"/>
    </row>
    <row r="758" spans="1:15">
      <c r="A758" s="78"/>
      <c r="B758" s="78"/>
      <c r="M758" s="78"/>
      <c r="N758" s="78"/>
      <c r="O758" s="78"/>
    </row>
    <row r="759" spans="1:15">
      <c r="A759" s="78"/>
      <c r="B759" s="78"/>
      <c r="M759" s="78"/>
      <c r="N759" s="78"/>
      <c r="O759" s="78"/>
    </row>
    <row r="760" spans="1:15">
      <c r="A760" s="78"/>
      <c r="B760" s="78"/>
      <c r="M760" s="78"/>
      <c r="N760" s="78"/>
      <c r="O760" s="78"/>
    </row>
    <row r="761" spans="1:15">
      <c r="A761" s="78"/>
      <c r="B761" s="78"/>
      <c r="M761" s="78"/>
      <c r="N761" s="78"/>
      <c r="O761" s="78"/>
    </row>
    <row r="762" spans="1:15">
      <c r="A762" s="78"/>
      <c r="B762" s="78"/>
      <c r="M762" s="78"/>
      <c r="N762" s="78"/>
      <c r="O762" s="78"/>
    </row>
    <row r="763" spans="1:15">
      <c r="A763" s="78"/>
      <c r="B763" s="78"/>
      <c r="M763" s="78"/>
      <c r="N763" s="78"/>
      <c r="O763" s="78"/>
    </row>
    <row r="764" spans="1:15">
      <c r="A764" s="78"/>
      <c r="B764" s="78"/>
      <c r="M764" s="78"/>
      <c r="N764" s="78"/>
      <c r="O764" s="78"/>
    </row>
    <row r="765" spans="1:15">
      <c r="A765" s="78"/>
      <c r="B765" s="78"/>
      <c r="M765" s="78"/>
      <c r="N765" s="78"/>
      <c r="O765" s="78"/>
    </row>
    <row r="766" spans="1:15">
      <c r="A766" s="78"/>
      <c r="B766" s="78"/>
      <c r="M766" s="78"/>
      <c r="N766" s="78"/>
      <c r="O766" s="78"/>
    </row>
    <row r="767" spans="1:15">
      <c r="A767" s="78"/>
      <c r="B767" s="78"/>
      <c r="M767" s="78"/>
      <c r="N767" s="78"/>
      <c r="O767" s="78"/>
    </row>
    <row r="768" spans="1:15">
      <c r="A768" s="78"/>
      <c r="B768" s="78"/>
      <c r="M768" s="78"/>
      <c r="N768" s="78"/>
      <c r="O768" s="78"/>
    </row>
    <row r="769" spans="1:15">
      <c r="A769" s="78"/>
      <c r="B769" s="78"/>
      <c r="M769" s="78"/>
      <c r="N769" s="78"/>
      <c r="O769" s="78"/>
    </row>
    <row r="770" spans="1:15">
      <c r="A770" s="78"/>
      <c r="B770" s="78"/>
      <c r="M770" s="78"/>
      <c r="N770" s="78"/>
      <c r="O770" s="78"/>
    </row>
    <row r="771" spans="1:15">
      <c r="A771" s="78"/>
      <c r="B771" s="78"/>
      <c r="M771" s="78"/>
      <c r="N771" s="78"/>
      <c r="O771" s="78"/>
    </row>
    <row r="772" spans="1:15">
      <c r="A772" s="78"/>
      <c r="B772" s="78"/>
      <c r="M772" s="78"/>
      <c r="N772" s="78"/>
      <c r="O772" s="78"/>
    </row>
    <row r="773" spans="1:15">
      <c r="A773" s="78"/>
      <c r="B773" s="78"/>
      <c r="M773" s="78"/>
      <c r="N773" s="78"/>
      <c r="O773" s="78"/>
    </row>
    <row r="774" spans="1:15">
      <c r="A774" s="78"/>
      <c r="B774" s="78"/>
      <c r="M774" s="78"/>
      <c r="N774" s="78"/>
      <c r="O774" s="78"/>
    </row>
    <row r="775" spans="1:15">
      <c r="A775" s="78"/>
      <c r="B775" s="78"/>
      <c r="M775" s="78"/>
      <c r="N775" s="78"/>
      <c r="O775" s="78"/>
    </row>
    <row r="776" spans="1:15">
      <c r="A776" s="78"/>
      <c r="B776" s="78"/>
      <c r="M776" s="78"/>
      <c r="N776" s="78"/>
      <c r="O776" s="78"/>
    </row>
    <row r="777" spans="1:15">
      <c r="A777" s="78"/>
      <c r="B777" s="78"/>
      <c r="M777" s="78"/>
      <c r="N777" s="78"/>
      <c r="O777" s="78"/>
    </row>
    <row r="778" spans="1:15">
      <c r="A778" s="78"/>
      <c r="B778" s="78"/>
      <c r="M778" s="78"/>
      <c r="N778" s="78"/>
      <c r="O778" s="78"/>
    </row>
    <row r="779" spans="1:15">
      <c r="A779" s="78"/>
      <c r="B779" s="78"/>
      <c r="M779" s="78"/>
      <c r="N779" s="78"/>
      <c r="O779" s="78"/>
    </row>
    <row r="780" spans="1:15">
      <c r="A780" s="78"/>
      <c r="B780" s="78"/>
      <c r="M780" s="78"/>
      <c r="N780" s="78"/>
      <c r="O780" s="78"/>
    </row>
    <row r="781" spans="1:15">
      <c r="A781" s="78"/>
      <c r="B781" s="78"/>
      <c r="M781" s="78"/>
      <c r="N781" s="78"/>
      <c r="O781" s="78"/>
    </row>
    <row r="782" spans="1:15">
      <c r="A782" s="78"/>
      <c r="B782" s="78"/>
      <c r="M782" s="78"/>
      <c r="N782" s="78"/>
      <c r="O782" s="78"/>
    </row>
    <row r="783" spans="1:15">
      <c r="A783" s="78"/>
      <c r="B783" s="78"/>
      <c r="M783" s="78"/>
      <c r="N783" s="78"/>
      <c r="O783" s="78"/>
    </row>
    <row r="784" spans="1:15">
      <c r="A784" s="78"/>
      <c r="B784" s="78"/>
      <c r="M784" s="78"/>
      <c r="N784" s="78"/>
      <c r="O784" s="78"/>
    </row>
    <row r="785" spans="1:15">
      <c r="A785" s="78"/>
      <c r="B785" s="78"/>
      <c r="M785" s="78"/>
      <c r="N785" s="78"/>
      <c r="O785" s="78"/>
    </row>
    <row r="786" spans="1:15">
      <c r="A786" s="78"/>
      <c r="B786" s="78"/>
      <c r="M786" s="78"/>
      <c r="N786" s="78"/>
      <c r="O786" s="78"/>
    </row>
    <row r="787" spans="1:15">
      <c r="A787" s="78"/>
      <c r="B787" s="78"/>
      <c r="M787" s="78"/>
      <c r="N787" s="78"/>
      <c r="O787" s="78"/>
    </row>
    <row r="788" spans="1:15">
      <c r="A788" s="78"/>
      <c r="B788" s="78"/>
      <c r="M788" s="78"/>
      <c r="N788" s="78"/>
      <c r="O788" s="78"/>
    </row>
    <row r="789" spans="1:15">
      <c r="A789" s="78"/>
      <c r="B789" s="78"/>
      <c r="M789" s="78"/>
      <c r="N789" s="78"/>
      <c r="O789" s="78"/>
    </row>
    <row r="790" spans="1:15">
      <c r="A790" s="78"/>
      <c r="B790" s="78"/>
      <c r="M790" s="78"/>
      <c r="N790" s="78"/>
      <c r="O790" s="78"/>
    </row>
    <row r="791" spans="1:15">
      <c r="A791" s="78"/>
      <c r="B791" s="78"/>
      <c r="M791" s="78"/>
      <c r="N791" s="78"/>
      <c r="O791" s="78"/>
    </row>
    <row r="792" spans="1:15">
      <c r="A792" s="78"/>
      <c r="B792" s="78"/>
      <c r="M792" s="78"/>
      <c r="N792" s="78"/>
      <c r="O792" s="78"/>
    </row>
    <row r="793" spans="1:15">
      <c r="A793" s="78"/>
      <c r="B793" s="78"/>
      <c r="M793" s="78"/>
      <c r="N793" s="78"/>
      <c r="O793" s="78"/>
    </row>
    <row r="794" spans="1:15">
      <c r="A794" s="78"/>
      <c r="B794" s="78"/>
      <c r="M794" s="78"/>
      <c r="N794" s="78"/>
      <c r="O794" s="78"/>
    </row>
    <row r="795" spans="1:15">
      <c r="A795" s="78"/>
      <c r="B795" s="78"/>
      <c r="M795" s="78"/>
      <c r="N795" s="78"/>
      <c r="O795" s="78"/>
    </row>
    <row r="796" spans="1:15">
      <c r="A796" s="78"/>
      <c r="B796" s="78"/>
      <c r="M796" s="78"/>
      <c r="N796" s="78"/>
      <c r="O796" s="78"/>
    </row>
    <row r="797" spans="1:15">
      <c r="A797" s="78"/>
      <c r="B797" s="78"/>
      <c r="M797" s="78"/>
      <c r="N797" s="78"/>
      <c r="O797" s="78"/>
    </row>
    <row r="798" spans="1:15">
      <c r="A798" s="78"/>
      <c r="B798" s="78"/>
      <c r="M798" s="78"/>
      <c r="N798" s="78"/>
      <c r="O798" s="78"/>
    </row>
    <row r="799" spans="1:15">
      <c r="A799" s="78"/>
      <c r="B799" s="78"/>
      <c r="M799" s="78"/>
      <c r="N799" s="78"/>
      <c r="O799" s="78"/>
    </row>
    <row r="800" spans="1:15">
      <c r="A800" s="78"/>
      <c r="B800" s="78"/>
      <c r="M800" s="78"/>
      <c r="N800" s="78"/>
      <c r="O800" s="78"/>
    </row>
    <row r="801" spans="1:15">
      <c r="A801" s="78"/>
      <c r="B801" s="78"/>
      <c r="M801" s="78"/>
      <c r="N801" s="78"/>
      <c r="O801" s="78"/>
    </row>
    <row r="802" spans="1:15">
      <c r="A802" s="78"/>
      <c r="B802" s="78"/>
      <c r="M802" s="78"/>
      <c r="N802" s="78"/>
      <c r="O802" s="78"/>
    </row>
    <row r="803" spans="1:15">
      <c r="A803" s="78"/>
      <c r="B803" s="78"/>
      <c r="M803" s="78"/>
      <c r="N803" s="78"/>
      <c r="O803" s="78"/>
    </row>
    <row r="804" spans="1:15">
      <c r="A804" s="78"/>
      <c r="B804" s="78"/>
      <c r="M804" s="78"/>
      <c r="N804" s="78"/>
      <c r="O804" s="78"/>
    </row>
    <row r="805" spans="1:15">
      <c r="A805" s="78"/>
      <c r="B805" s="78"/>
      <c r="M805" s="78"/>
      <c r="N805" s="78"/>
      <c r="O805" s="78"/>
    </row>
    <row r="806" spans="1:15">
      <c r="A806" s="78"/>
      <c r="B806" s="78"/>
      <c r="M806" s="78"/>
      <c r="N806" s="78"/>
      <c r="O806" s="78"/>
    </row>
    <row r="807" spans="1:15">
      <c r="A807" s="78"/>
      <c r="B807" s="78"/>
      <c r="M807" s="78"/>
      <c r="N807" s="78"/>
      <c r="O807" s="78"/>
    </row>
    <row r="808" spans="1:15">
      <c r="A808" s="78"/>
      <c r="B808" s="78"/>
      <c r="M808" s="78"/>
      <c r="N808" s="78"/>
      <c r="O808" s="78"/>
    </row>
    <row r="809" spans="1:15">
      <c r="A809" s="78"/>
      <c r="B809" s="78"/>
      <c r="M809" s="78"/>
      <c r="N809" s="78"/>
      <c r="O809" s="78"/>
    </row>
    <row r="810" spans="1:15">
      <c r="A810" s="78"/>
      <c r="B810" s="78"/>
      <c r="M810" s="78"/>
      <c r="N810" s="78"/>
      <c r="O810" s="78"/>
    </row>
    <row r="811" spans="1:15">
      <c r="A811" s="78"/>
      <c r="B811" s="78"/>
      <c r="M811" s="78"/>
      <c r="N811" s="78"/>
      <c r="O811" s="78"/>
    </row>
    <row r="812" spans="1:15">
      <c r="A812" s="78"/>
      <c r="B812" s="78"/>
      <c r="M812" s="78"/>
      <c r="N812" s="78"/>
      <c r="O812" s="78"/>
    </row>
    <row r="813" spans="1:15">
      <c r="A813" s="78"/>
      <c r="B813" s="78"/>
      <c r="M813" s="78"/>
      <c r="N813" s="78"/>
      <c r="O813" s="78"/>
    </row>
    <row r="814" spans="1:15">
      <c r="A814" s="78"/>
      <c r="B814" s="78"/>
      <c r="M814" s="78"/>
      <c r="N814" s="78"/>
      <c r="O814" s="78"/>
    </row>
    <row r="815" spans="1:15">
      <c r="A815" s="78"/>
      <c r="B815" s="78"/>
      <c r="M815" s="78"/>
      <c r="N815" s="78"/>
      <c r="O815" s="78"/>
    </row>
    <row r="816" spans="1:15">
      <c r="A816" s="78"/>
      <c r="B816" s="78"/>
      <c r="M816" s="78"/>
      <c r="N816" s="78"/>
      <c r="O816" s="78"/>
    </row>
    <row r="817" spans="1:15">
      <c r="A817" s="78"/>
      <c r="B817" s="78"/>
      <c r="M817" s="78"/>
      <c r="N817" s="78"/>
      <c r="O817" s="78"/>
    </row>
    <row r="818" spans="1:15">
      <c r="A818" s="78"/>
      <c r="B818" s="78"/>
      <c r="M818" s="78"/>
      <c r="N818" s="78"/>
      <c r="O818" s="78"/>
    </row>
    <row r="819" spans="1:15">
      <c r="A819" s="78"/>
      <c r="B819" s="78"/>
      <c r="M819" s="78"/>
      <c r="N819" s="78"/>
      <c r="O819" s="78"/>
    </row>
    <row r="820" spans="1:15">
      <c r="A820" s="78"/>
      <c r="B820" s="78"/>
      <c r="M820" s="78"/>
      <c r="N820" s="78"/>
      <c r="O820" s="78"/>
    </row>
    <row r="821" spans="1:15">
      <c r="A821" s="78"/>
      <c r="B821" s="78"/>
      <c r="M821" s="78"/>
      <c r="N821" s="78"/>
      <c r="O821" s="78"/>
    </row>
    <row r="822" spans="1:15">
      <c r="A822" s="78"/>
      <c r="B822" s="78"/>
      <c r="M822" s="78"/>
      <c r="N822" s="78"/>
      <c r="O822" s="78"/>
    </row>
    <row r="823" spans="1:15">
      <c r="A823" s="78"/>
      <c r="B823" s="78"/>
      <c r="M823" s="78"/>
      <c r="N823" s="78"/>
      <c r="O823" s="78"/>
    </row>
    <row r="824" spans="1:15">
      <c r="A824" s="78"/>
      <c r="B824" s="78"/>
      <c r="M824" s="78"/>
      <c r="N824" s="78"/>
      <c r="O824" s="78"/>
    </row>
    <row r="825" spans="1:15">
      <c r="A825" s="78"/>
      <c r="B825" s="78"/>
      <c r="M825" s="78"/>
      <c r="N825" s="78"/>
      <c r="O825" s="78"/>
    </row>
    <row r="826" spans="1:15">
      <c r="A826" s="78"/>
      <c r="B826" s="78"/>
      <c r="M826" s="78"/>
      <c r="N826" s="78"/>
      <c r="O826" s="78"/>
    </row>
    <row r="827" spans="1:15">
      <c r="A827" s="78"/>
      <c r="B827" s="78"/>
      <c r="M827" s="78"/>
      <c r="N827" s="78"/>
      <c r="O827" s="78"/>
    </row>
    <row r="828" spans="1:15">
      <c r="A828" s="78"/>
      <c r="B828" s="78"/>
      <c r="M828" s="78"/>
      <c r="N828" s="78"/>
      <c r="O828" s="78"/>
    </row>
    <row r="829" spans="1:15">
      <c r="A829" s="78"/>
      <c r="B829" s="78"/>
      <c r="M829" s="78"/>
      <c r="N829" s="78"/>
      <c r="O829" s="78"/>
    </row>
    <row r="830" spans="1:15">
      <c r="A830" s="78"/>
      <c r="B830" s="78"/>
      <c r="M830" s="78"/>
      <c r="N830" s="78"/>
      <c r="O830" s="78"/>
    </row>
    <row r="831" spans="1:15">
      <c r="A831" s="78"/>
      <c r="B831" s="78"/>
      <c r="M831" s="78"/>
      <c r="N831" s="78"/>
      <c r="O831" s="78"/>
    </row>
    <row r="832" spans="1:15">
      <c r="A832" s="78"/>
      <c r="B832" s="78"/>
      <c r="M832" s="78"/>
      <c r="N832" s="78"/>
      <c r="O832" s="78"/>
    </row>
    <row r="833" spans="1:15">
      <c r="A833" s="78"/>
      <c r="B833" s="78"/>
      <c r="M833" s="78"/>
      <c r="N833" s="78"/>
      <c r="O833" s="78"/>
    </row>
    <row r="834" spans="1:15">
      <c r="A834" s="78"/>
      <c r="B834" s="78"/>
      <c r="M834" s="78"/>
      <c r="N834" s="78"/>
      <c r="O834" s="78"/>
    </row>
    <row r="835" spans="1:15">
      <c r="A835" s="78"/>
      <c r="B835" s="78"/>
      <c r="M835" s="78"/>
      <c r="N835" s="78"/>
      <c r="O835" s="78"/>
    </row>
    <row r="836" spans="1:15">
      <c r="A836" s="78"/>
      <c r="B836" s="78"/>
      <c r="M836" s="78"/>
      <c r="N836" s="78"/>
      <c r="O836" s="78"/>
    </row>
    <row r="837" spans="1:15">
      <c r="A837" s="78"/>
      <c r="B837" s="78"/>
      <c r="M837" s="78"/>
      <c r="N837" s="78"/>
      <c r="O837" s="78"/>
    </row>
    <row r="838" spans="1:15">
      <c r="A838" s="78"/>
      <c r="B838" s="78"/>
      <c r="M838" s="78"/>
      <c r="N838" s="78"/>
      <c r="O838" s="78"/>
    </row>
    <row r="839" spans="1:15">
      <c r="A839" s="78"/>
      <c r="B839" s="78"/>
      <c r="M839" s="78"/>
      <c r="N839" s="78"/>
      <c r="O839" s="78"/>
    </row>
    <row r="840" spans="1:15">
      <c r="A840" s="78"/>
      <c r="B840" s="78"/>
      <c r="M840" s="78"/>
      <c r="N840" s="78"/>
      <c r="O840" s="78"/>
    </row>
    <row r="841" spans="1:15">
      <c r="A841" s="78"/>
      <c r="B841" s="78"/>
      <c r="M841" s="78"/>
      <c r="N841" s="78"/>
      <c r="O841" s="78"/>
    </row>
    <row r="842" spans="1:15">
      <c r="A842" s="78"/>
      <c r="B842" s="78"/>
      <c r="M842" s="78"/>
      <c r="N842" s="78"/>
      <c r="O842" s="78"/>
    </row>
    <row r="843" spans="1:15">
      <c r="A843" s="78"/>
      <c r="B843" s="78"/>
      <c r="M843" s="78"/>
      <c r="N843" s="78"/>
      <c r="O843" s="78"/>
    </row>
    <row r="844" spans="1:15">
      <c r="A844" s="78"/>
      <c r="B844" s="78"/>
      <c r="M844" s="78"/>
      <c r="N844" s="78"/>
      <c r="O844" s="78"/>
    </row>
    <row r="845" spans="1:15">
      <c r="A845" s="78"/>
      <c r="B845" s="78"/>
      <c r="M845" s="78"/>
      <c r="N845" s="78"/>
      <c r="O845" s="78"/>
    </row>
    <row r="846" spans="1:15">
      <c r="A846" s="78"/>
      <c r="B846" s="78"/>
      <c r="M846" s="78"/>
      <c r="N846" s="78"/>
      <c r="O846" s="78"/>
    </row>
    <row r="847" spans="1:15">
      <c r="A847" s="78"/>
      <c r="B847" s="78"/>
      <c r="M847" s="78"/>
      <c r="N847" s="78"/>
      <c r="O847" s="78"/>
    </row>
    <row r="848" spans="1:15">
      <c r="A848" s="78"/>
      <c r="B848" s="78"/>
      <c r="M848" s="78"/>
      <c r="N848" s="78"/>
      <c r="O848" s="78"/>
    </row>
    <row r="849" spans="1:15">
      <c r="A849" s="78"/>
      <c r="B849" s="78"/>
      <c r="M849" s="78"/>
      <c r="N849" s="78"/>
      <c r="O849" s="78"/>
    </row>
    <row r="850" spans="1:15">
      <c r="A850" s="78"/>
      <c r="B850" s="78"/>
      <c r="M850" s="78"/>
      <c r="N850" s="78"/>
      <c r="O850" s="78"/>
    </row>
    <row r="851" spans="1:15">
      <c r="A851" s="78"/>
      <c r="B851" s="78"/>
      <c r="M851" s="78"/>
      <c r="N851" s="78"/>
      <c r="O851" s="78"/>
    </row>
    <row r="852" spans="1:15">
      <c r="A852" s="78"/>
      <c r="B852" s="78"/>
      <c r="M852" s="78"/>
      <c r="N852" s="78"/>
      <c r="O852" s="78"/>
    </row>
    <row r="853" spans="1:15">
      <c r="A853" s="78"/>
      <c r="B853" s="78"/>
      <c r="M853" s="78"/>
      <c r="N853" s="78"/>
      <c r="O853" s="78"/>
    </row>
    <row r="854" spans="1:15">
      <c r="A854" s="78"/>
      <c r="B854" s="78"/>
      <c r="M854" s="78"/>
      <c r="N854" s="78"/>
      <c r="O854" s="78"/>
    </row>
    <row r="855" spans="1:15">
      <c r="A855" s="78"/>
      <c r="B855" s="78"/>
      <c r="M855" s="78"/>
      <c r="N855" s="78"/>
      <c r="O855" s="78"/>
    </row>
    <row r="856" spans="1:15">
      <c r="A856" s="78"/>
      <c r="B856" s="78"/>
      <c r="M856" s="78"/>
      <c r="N856" s="78"/>
      <c r="O856" s="78"/>
    </row>
    <row r="857" spans="1:15">
      <c r="A857" s="78"/>
      <c r="B857" s="78"/>
      <c r="M857" s="78"/>
      <c r="N857" s="78"/>
      <c r="O857" s="78"/>
    </row>
    <row r="858" spans="1:15">
      <c r="A858" s="78"/>
      <c r="B858" s="78"/>
      <c r="M858" s="78"/>
      <c r="N858" s="78"/>
      <c r="O858" s="78"/>
    </row>
    <row r="859" spans="1:15">
      <c r="A859" s="78"/>
      <c r="B859" s="78"/>
      <c r="M859" s="78"/>
      <c r="N859" s="78"/>
      <c r="O859" s="78"/>
    </row>
    <row r="860" spans="1:15">
      <c r="A860" s="78"/>
      <c r="B860" s="78"/>
      <c r="M860" s="78"/>
      <c r="N860" s="78"/>
      <c r="O860" s="78"/>
    </row>
    <row r="861" spans="1:15">
      <c r="A861" s="78"/>
      <c r="B861" s="78"/>
      <c r="M861" s="78"/>
      <c r="N861" s="78"/>
      <c r="O861" s="78"/>
    </row>
    <row r="862" spans="1:15">
      <c r="A862" s="78"/>
      <c r="B862" s="78"/>
      <c r="M862" s="78"/>
      <c r="N862" s="78"/>
      <c r="O862" s="78"/>
    </row>
    <row r="863" spans="1:15">
      <c r="A863" s="78"/>
      <c r="B863" s="78"/>
      <c r="M863" s="78"/>
      <c r="N863" s="78"/>
      <c r="O863" s="78"/>
    </row>
    <row r="864" spans="1:15">
      <c r="A864" s="78"/>
      <c r="B864" s="78"/>
      <c r="M864" s="78"/>
      <c r="N864" s="78"/>
      <c r="O864" s="78"/>
    </row>
    <row r="865" spans="1:15">
      <c r="A865" s="78"/>
      <c r="B865" s="78"/>
      <c r="M865" s="78"/>
      <c r="N865" s="78"/>
      <c r="O865" s="78"/>
    </row>
    <row r="866" spans="1:15">
      <c r="A866" s="78"/>
      <c r="B866" s="78"/>
      <c r="M866" s="78"/>
      <c r="N866" s="78"/>
      <c r="O866" s="78"/>
    </row>
    <row r="867" spans="1:15">
      <c r="A867" s="78"/>
      <c r="B867" s="78"/>
      <c r="M867" s="78"/>
      <c r="N867" s="78"/>
      <c r="O867" s="78"/>
    </row>
    <row r="868" spans="1:15">
      <c r="A868" s="78"/>
      <c r="B868" s="78"/>
      <c r="M868" s="78"/>
      <c r="N868" s="78"/>
      <c r="O868" s="78"/>
    </row>
    <row r="869" spans="1:15">
      <c r="A869" s="78"/>
      <c r="B869" s="78"/>
      <c r="M869" s="78"/>
      <c r="N869" s="78"/>
      <c r="O869" s="78"/>
    </row>
    <row r="870" spans="1:15">
      <c r="A870" s="78"/>
      <c r="B870" s="78"/>
      <c r="M870" s="78"/>
      <c r="N870" s="78"/>
      <c r="O870" s="78"/>
    </row>
    <row r="871" spans="1:15">
      <c r="A871" s="78"/>
      <c r="B871" s="78"/>
      <c r="M871" s="78"/>
      <c r="N871" s="78"/>
      <c r="O871" s="78"/>
    </row>
    <row r="872" spans="1:15">
      <c r="A872" s="78"/>
      <c r="B872" s="78"/>
      <c r="M872" s="78"/>
      <c r="N872" s="78"/>
      <c r="O872" s="78"/>
    </row>
    <row r="873" spans="1:15">
      <c r="A873" s="78"/>
      <c r="B873" s="78"/>
      <c r="M873" s="78"/>
      <c r="N873" s="78"/>
      <c r="O873" s="78"/>
    </row>
    <row r="874" spans="1:15">
      <c r="A874" s="78"/>
      <c r="B874" s="78"/>
      <c r="M874" s="78"/>
      <c r="N874" s="78"/>
      <c r="O874" s="78"/>
    </row>
    <row r="875" spans="1:15">
      <c r="A875" s="78"/>
      <c r="B875" s="78"/>
      <c r="M875" s="78"/>
      <c r="N875" s="78"/>
      <c r="O875" s="78"/>
    </row>
    <row r="876" spans="1:15">
      <c r="A876" s="78"/>
      <c r="B876" s="78"/>
      <c r="M876" s="78"/>
      <c r="N876" s="78"/>
      <c r="O876" s="78"/>
    </row>
    <row r="877" spans="1:15">
      <c r="A877" s="78"/>
      <c r="B877" s="78"/>
      <c r="M877" s="78"/>
      <c r="N877" s="78"/>
      <c r="O877" s="78"/>
    </row>
    <row r="878" spans="1:15">
      <c r="A878" s="78"/>
      <c r="B878" s="78"/>
      <c r="M878" s="78"/>
      <c r="N878" s="78"/>
      <c r="O878" s="78"/>
    </row>
    <row r="879" spans="1:15">
      <c r="A879" s="78"/>
      <c r="B879" s="78"/>
      <c r="M879" s="78"/>
      <c r="N879" s="78"/>
      <c r="O879" s="78"/>
    </row>
    <row r="880" spans="1:15">
      <c r="A880" s="78"/>
      <c r="B880" s="78"/>
      <c r="M880" s="78"/>
      <c r="N880" s="78"/>
      <c r="O880" s="78"/>
    </row>
    <row r="881" spans="1:15">
      <c r="A881" s="78"/>
      <c r="B881" s="78"/>
      <c r="M881" s="78"/>
      <c r="N881" s="78"/>
      <c r="O881" s="78"/>
    </row>
    <row r="882" spans="1:15">
      <c r="A882" s="78"/>
      <c r="B882" s="78"/>
      <c r="M882" s="78"/>
      <c r="N882" s="78"/>
      <c r="O882" s="78"/>
    </row>
    <row r="883" spans="1:15">
      <c r="A883" s="78"/>
      <c r="B883" s="78"/>
      <c r="M883" s="78"/>
      <c r="N883" s="78"/>
      <c r="O883" s="78"/>
    </row>
    <row r="884" spans="1:15">
      <c r="A884" s="78"/>
      <c r="B884" s="78"/>
      <c r="M884" s="78"/>
      <c r="N884" s="78"/>
      <c r="O884" s="78"/>
    </row>
    <row r="885" spans="1:15">
      <c r="A885" s="78"/>
      <c r="B885" s="78"/>
      <c r="M885" s="78"/>
      <c r="N885" s="78"/>
      <c r="O885" s="78"/>
    </row>
    <row r="886" spans="1:15">
      <c r="A886" s="78"/>
      <c r="B886" s="78"/>
      <c r="M886" s="78"/>
      <c r="N886" s="78"/>
      <c r="O886" s="78"/>
    </row>
    <row r="887" spans="1:15">
      <c r="A887" s="78"/>
      <c r="B887" s="78"/>
      <c r="M887" s="78"/>
      <c r="N887" s="78"/>
      <c r="O887" s="78"/>
    </row>
    <row r="888" spans="1:15">
      <c r="A888" s="78"/>
      <c r="B888" s="78"/>
      <c r="M888" s="78"/>
      <c r="N888" s="78"/>
      <c r="O888" s="78"/>
    </row>
    <row r="889" spans="1:15">
      <c r="A889" s="78"/>
      <c r="B889" s="78"/>
      <c r="M889" s="78"/>
      <c r="N889" s="78"/>
      <c r="O889" s="78"/>
    </row>
    <row r="890" spans="1:15">
      <c r="A890" s="78"/>
      <c r="B890" s="78"/>
      <c r="M890" s="78"/>
      <c r="N890" s="78"/>
      <c r="O890" s="78"/>
    </row>
    <row r="891" spans="1:15">
      <c r="A891" s="78"/>
      <c r="B891" s="78"/>
      <c r="M891" s="78"/>
      <c r="N891" s="78"/>
      <c r="O891" s="78"/>
    </row>
    <row r="892" spans="1:15">
      <c r="A892" s="78"/>
      <c r="B892" s="78"/>
      <c r="M892" s="78"/>
      <c r="N892" s="78"/>
      <c r="O892" s="78"/>
    </row>
    <row r="893" spans="1:15">
      <c r="A893" s="78"/>
      <c r="B893" s="78"/>
      <c r="M893" s="78"/>
      <c r="N893" s="78"/>
      <c r="O893" s="78"/>
    </row>
    <row r="894" spans="1:15">
      <c r="A894" s="78"/>
      <c r="B894" s="78"/>
      <c r="M894" s="78"/>
      <c r="N894" s="78"/>
      <c r="O894" s="78"/>
    </row>
    <row r="895" spans="1:15">
      <c r="A895" s="78"/>
      <c r="B895" s="78"/>
      <c r="M895" s="78"/>
      <c r="N895" s="78"/>
      <c r="O895" s="78"/>
    </row>
    <row r="896" spans="1:15">
      <c r="A896" s="78"/>
      <c r="B896" s="78"/>
      <c r="M896" s="78"/>
      <c r="N896" s="78"/>
      <c r="O896" s="78"/>
    </row>
    <row r="897" spans="1:15">
      <c r="A897" s="78"/>
      <c r="B897" s="78"/>
      <c r="M897" s="78"/>
      <c r="N897" s="78"/>
      <c r="O897" s="78"/>
    </row>
    <row r="898" spans="1:15">
      <c r="A898" s="78"/>
      <c r="B898" s="78"/>
      <c r="M898" s="78"/>
      <c r="N898" s="78"/>
      <c r="O898" s="78"/>
    </row>
    <row r="899" spans="1:15">
      <c r="A899" s="78"/>
      <c r="B899" s="78"/>
      <c r="M899" s="78"/>
      <c r="N899" s="78"/>
      <c r="O899" s="78"/>
    </row>
    <row r="900" spans="1:15">
      <c r="A900" s="78"/>
      <c r="B900" s="78"/>
      <c r="M900" s="78"/>
      <c r="N900" s="78"/>
      <c r="O900" s="78"/>
    </row>
    <row r="901" spans="1:15">
      <c r="A901" s="78"/>
      <c r="B901" s="78"/>
      <c r="M901" s="78"/>
      <c r="N901" s="78"/>
      <c r="O901" s="78"/>
    </row>
    <row r="902" spans="1:15">
      <c r="A902" s="78"/>
      <c r="B902" s="78"/>
      <c r="M902" s="78"/>
      <c r="N902" s="78"/>
      <c r="O902" s="78"/>
    </row>
    <row r="903" spans="1:15">
      <c r="A903" s="78"/>
      <c r="B903" s="78"/>
      <c r="M903" s="78"/>
      <c r="N903" s="78"/>
      <c r="O903" s="78"/>
    </row>
    <row r="904" spans="1:15">
      <c r="A904" s="78"/>
      <c r="B904" s="78"/>
      <c r="M904" s="78"/>
      <c r="N904" s="78"/>
      <c r="O904" s="78"/>
    </row>
    <row r="905" spans="1:15">
      <c r="A905" s="78"/>
      <c r="B905" s="78"/>
      <c r="M905" s="78"/>
      <c r="N905" s="78"/>
      <c r="O905" s="78"/>
    </row>
    <row r="906" spans="1:15">
      <c r="A906" s="78"/>
      <c r="B906" s="78"/>
      <c r="M906" s="78"/>
      <c r="N906" s="78"/>
      <c r="O906" s="78"/>
    </row>
    <row r="907" spans="1:15">
      <c r="A907" s="78"/>
      <c r="B907" s="78"/>
      <c r="M907" s="78"/>
      <c r="N907" s="78"/>
      <c r="O907" s="78"/>
    </row>
    <row r="908" spans="1:15">
      <c r="A908" s="78"/>
      <c r="B908" s="78"/>
      <c r="M908" s="78"/>
      <c r="N908" s="78"/>
      <c r="O908" s="78"/>
    </row>
    <row r="909" spans="1:15">
      <c r="A909" s="78"/>
      <c r="B909" s="78"/>
      <c r="M909" s="78"/>
      <c r="N909" s="78"/>
      <c r="O909" s="78"/>
    </row>
    <row r="910" spans="1:15">
      <c r="A910" s="78"/>
      <c r="B910" s="78"/>
      <c r="M910" s="78"/>
      <c r="N910" s="78"/>
      <c r="O910" s="78"/>
    </row>
    <row r="911" spans="1:15">
      <c r="A911" s="78"/>
      <c r="B911" s="78"/>
      <c r="M911" s="78"/>
      <c r="N911" s="78"/>
      <c r="O911" s="78"/>
    </row>
    <row r="912" spans="1:15">
      <c r="A912" s="78"/>
      <c r="B912" s="78"/>
      <c r="M912" s="78"/>
      <c r="N912" s="78"/>
      <c r="O912" s="78"/>
    </row>
    <row r="913" spans="1:15">
      <c r="A913" s="78"/>
      <c r="B913" s="78"/>
      <c r="M913" s="78"/>
      <c r="N913" s="78"/>
      <c r="O913" s="78"/>
    </row>
    <row r="914" spans="1:15">
      <c r="A914" s="78"/>
      <c r="B914" s="78"/>
      <c r="M914" s="78"/>
      <c r="N914" s="78"/>
      <c r="O914" s="78"/>
    </row>
    <row r="915" spans="1:15">
      <c r="A915" s="78"/>
      <c r="B915" s="78"/>
      <c r="M915" s="78"/>
      <c r="N915" s="78"/>
      <c r="O915" s="78"/>
    </row>
    <row r="916" spans="1:15">
      <c r="A916" s="78"/>
      <c r="B916" s="78"/>
      <c r="M916" s="78"/>
      <c r="N916" s="78"/>
      <c r="O916" s="78"/>
    </row>
    <row r="917" spans="1:15">
      <c r="A917" s="78"/>
      <c r="B917" s="78"/>
      <c r="M917" s="78"/>
      <c r="N917" s="78"/>
      <c r="O917" s="78"/>
    </row>
    <row r="918" spans="1:15">
      <c r="A918" s="78"/>
      <c r="B918" s="78"/>
      <c r="M918" s="78"/>
      <c r="N918" s="78"/>
      <c r="O918" s="78"/>
    </row>
    <row r="919" spans="1:15">
      <c r="A919" s="78"/>
      <c r="B919" s="78"/>
      <c r="M919" s="78"/>
      <c r="N919" s="78"/>
      <c r="O919" s="78"/>
    </row>
    <row r="920" spans="1:15">
      <c r="A920" s="78"/>
      <c r="B920" s="78"/>
      <c r="M920" s="78"/>
      <c r="N920" s="78"/>
      <c r="O920" s="78"/>
    </row>
    <row r="921" spans="1:15">
      <c r="A921" s="78"/>
      <c r="B921" s="78"/>
      <c r="M921" s="78"/>
      <c r="N921" s="78"/>
      <c r="O921" s="78"/>
    </row>
    <row r="922" spans="1:15">
      <c r="A922" s="78"/>
      <c r="B922" s="78"/>
      <c r="M922" s="78"/>
      <c r="N922" s="78"/>
      <c r="O922" s="78"/>
    </row>
    <row r="923" spans="1:15">
      <c r="A923" s="78"/>
      <c r="B923" s="78"/>
      <c r="M923" s="78"/>
      <c r="N923" s="78"/>
      <c r="O923" s="78"/>
    </row>
    <row r="924" spans="1:15">
      <c r="A924" s="78"/>
      <c r="B924" s="78"/>
      <c r="M924" s="78"/>
      <c r="N924" s="78"/>
      <c r="O924" s="78"/>
    </row>
    <row r="925" spans="1:15">
      <c r="A925" s="78"/>
      <c r="B925" s="78"/>
      <c r="M925" s="78"/>
      <c r="N925" s="78"/>
      <c r="O925" s="78"/>
    </row>
    <row r="926" spans="1:15">
      <c r="A926" s="78"/>
      <c r="B926" s="78"/>
      <c r="M926" s="78"/>
      <c r="N926" s="78"/>
      <c r="O926" s="78"/>
    </row>
    <row r="927" spans="1:15">
      <c r="A927" s="78"/>
      <c r="B927" s="78"/>
      <c r="M927" s="78"/>
      <c r="N927" s="78"/>
      <c r="O927" s="78"/>
    </row>
    <row r="928" spans="1:15">
      <c r="A928" s="78"/>
      <c r="B928" s="78"/>
      <c r="M928" s="78"/>
      <c r="N928" s="78"/>
      <c r="O928" s="78"/>
    </row>
    <row r="929" spans="1:15">
      <c r="A929" s="78"/>
      <c r="B929" s="78"/>
      <c r="M929" s="78"/>
      <c r="N929" s="78"/>
      <c r="O929" s="78"/>
    </row>
    <row r="930" spans="1:15">
      <c r="A930" s="78"/>
      <c r="B930" s="78"/>
      <c r="M930" s="78"/>
      <c r="N930" s="78"/>
      <c r="O930" s="78"/>
    </row>
    <row r="931" spans="1:15">
      <c r="A931" s="78"/>
      <c r="B931" s="78"/>
      <c r="M931" s="78"/>
      <c r="N931" s="78"/>
      <c r="O931" s="78"/>
    </row>
    <row r="932" spans="1:15">
      <c r="A932" s="78"/>
      <c r="B932" s="78"/>
      <c r="M932" s="78"/>
      <c r="N932" s="78"/>
      <c r="O932" s="78"/>
    </row>
    <row r="933" spans="1:15">
      <c r="A933" s="78"/>
      <c r="B933" s="78"/>
      <c r="M933" s="78"/>
      <c r="N933" s="78"/>
      <c r="O933" s="78"/>
    </row>
    <row r="934" spans="1:15">
      <c r="A934" s="78"/>
      <c r="B934" s="78"/>
      <c r="M934" s="78"/>
      <c r="N934" s="78"/>
      <c r="O934" s="78"/>
    </row>
    <row r="935" spans="1:15">
      <c r="A935" s="78"/>
      <c r="B935" s="78"/>
      <c r="M935" s="78"/>
      <c r="N935" s="78"/>
      <c r="O935" s="78"/>
    </row>
    <row r="936" spans="1:15">
      <c r="A936" s="78"/>
      <c r="B936" s="78"/>
      <c r="M936" s="78"/>
      <c r="N936" s="78"/>
      <c r="O936" s="78"/>
    </row>
    <row r="937" spans="1:15">
      <c r="A937" s="78"/>
      <c r="B937" s="78"/>
      <c r="M937" s="78"/>
      <c r="N937" s="78"/>
      <c r="O937" s="78"/>
    </row>
    <row r="938" spans="1:15">
      <c r="A938" s="78"/>
      <c r="B938" s="78"/>
      <c r="M938" s="78"/>
      <c r="N938" s="78"/>
      <c r="O938" s="78"/>
    </row>
    <row r="939" spans="1:15">
      <c r="A939" s="78"/>
      <c r="B939" s="78"/>
      <c r="M939" s="78"/>
      <c r="N939" s="78"/>
      <c r="O939" s="78"/>
    </row>
    <row r="940" spans="1:15">
      <c r="A940" s="78"/>
      <c r="B940" s="78"/>
      <c r="M940" s="78"/>
      <c r="N940" s="78"/>
      <c r="O940" s="78"/>
    </row>
    <row r="941" spans="1:15">
      <c r="A941" s="78"/>
      <c r="B941" s="78"/>
      <c r="M941" s="78"/>
      <c r="N941" s="78"/>
      <c r="O941" s="78"/>
    </row>
    <row r="942" spans="1:15">
      <c r="A942" s="78"/>
      <c r="B942" s="78"/>
      <c r="M942" s="78"/>
      <c r="N942" s="78"/>
      <c r="O942" s="78"/>
    </row>
    <row r="943" spans="1:15">
      <c r="A943" s="78"/>
      <c r="B943" s="78"/>
      <c r="M943" s="78"/>
      <c r="N943" s="78"/>
      <c r="O943" s="78"/>
    </row>
    <row r="944" spans="1:15">
      <c r="A944" s="78"/>
      <c r="B944" s="78"/>
      <c r="M944" s="78"/>
      <c r="N944" s="78"/>
      <c r="O944" s="78"/>
    </row>
    <row r="945" spans="1:15">
      <c r="A945" s="78"/>
      <c r="B945" s="78"/>
      <c r="M945" s="78"/>
      <c r="N945" s="78"/>
      <c r="O945" s="78"/>
    </row>
    <row r="946" spans="1:15">
      <c r="A946" s="78"/>
      <c r="B946" s="78"/>
      <c r="M946" s="78"/>
      <c r="N946" s="78"/>
      <c r="O946" s="78"/>
    </row>
    <row r="947" spans="1:15">
      <c r="A947" s="78"/>
      <c r="B947" s="78"/>
      <c r="M947" s="78"/>
      <c r="N947" s="78"/>
      <c r="O947" s="78"/>
    </row>
    <row r="948" spans="1:15">
      <c r="A948" s="78"/>
      <c r="B948" s="78"/>
      <c r="M948" s="78"/>
      <c r="N948" s="78"/>
      <c r="O948" s="78"/>
    </row>
    <row r="949" spans="1:15">
      <c r="A949" s="78"/>
      <c r="B949" s="78"/>
      <c r="M949" s="78"/>
      <c r="N949" s="78"/>
      <c r="O949" s="78"/>
    </row>
    <row r="950" spans="1:15">
      <c r="A950" s="78"/>
      <c r="B950" s="78"/>
      <c r="M950" s="78"/>
      <c r="N950" s="78"/>
      <c r="O950" s="78"/>
    </row>
    <row r="951" spans="1:15">
      <c r="A951" s="78"/>
      <c r="B951" s="78"/>
      <c r="M951" s="78"/>
      <c r="N951" s="78"/>
      <c r="O951" s="78"/>
    </row>
    <row r="952" spans="1:15">
      <c r="A952" s="78"/>
      <c r="B952" s="78"/>
      <c r="M952" s="78"/>
      <c r="N952" s="78"/>
      <c r="O952" s="78"/>
    </row>
    <row r="953" spans="1:15">
      <c r="A953" s="78"/>
      <c r="B953" s="78"/>
      <c r="M953" s="78"/>
      <c r="N953" s="78"/>
      <c r="O953" s="78"/>
    </row>
    <row r="954" spans="1:15">
      <c r="A954" s="78"/>
      <c r="B954" s="78"/>
      <c r="M954" s="78"/>
      <c r="N954" s="78"/>
      <c r="O954" s="78"/>
    </row>
    <row r="955" spans="1:15">
      <c r="A955" s="78"/>
      <c r="B955" s="78"/>
      <c r="M955" s="78"/>
      <c r="N955" s="78"/>
      <c r="O955" s="78"/>
    </row>
    <row r="956" spans="1:15">
      <c r="A956" s="78"/>
      <c r="B956" s="78"/>
      <c r="M956" s="78"/>
      <c r="N956" s="78"/>
      <c r="O956" s="78"/>
    </row>
    <row r="957" spans="1:15">
      <c r="A957" s="78"/>
      <c r="B957" s="78"/>
      <c r="M957" s="78"/>
      <c r="N957" s="78"/>
      <c r="O957" s="78"/>
    </row>
    <row r="958" spans="1:15">
      <c r="A958" s="78"/>
      <c r="B958" s="78"/>
      <c r="M958" s="78"/>
      <c r="N958" s="78"/>
      <c r="O958" s="78"/>
    </row>
    <row r="959" spans="1:15">
      <c r="A959" s="78"/>
      <c r="B959" s="78"/>
      <c r="M959" s="78"/>
      <c r="N959" s="78"/>
      <c r="O959" s="78"/>
    </row>
    <row r="960" spans="1:15">
      <c r="A960" s="78"/>
      <c r="B960" s="78"/>
      <c r="M960" s="78"/>
      <c r="N960" s="78"/>
      <c r="O960" s="78"/>
    </row>
    <row r="961" spans="1:15">
      <c r="A961" s="78"/>
      <c r="B961" s="78"/>
      <c r="M961" s="78"/>
      <c r="N961" s="78"/>
      <c r="O961" s="78"/>
    </row>
    <row r="962" spans="1:15">
      <c r="A962" s="78"/>
      <c r="B962" s="78"/>
      <c r="M962" s="78"/>
      <c r="N962" s="78"/>
      <c r="O962" s="78"/>
    </row>
    <row r="963" spans="1:15">
      <c r="A963" s="78"/>
      <c r="B963" s="78"/>
      <c r="M963" s="78"/>
      <c r="N963" s="78"/>
      <c r="O963" s="78"/>
    </row>
    <row r="964" spans="1:15">
      <c r="A964" s="78"/>
      <c r="B964" s="78"/>
      <c r="M964" s="78"/>
      <c r="N964" s="78"/>
      <c r="O964" s="78"/>
    </row>
    <row r="965" spans="1:15">
      <c r="A965" s="78"/>
      <c r="B965" s="78"/>
      <c r="M965" s="78"/>
      <c r="N965" s="78"/>
      <c r="O965" s="78"/>
    </row>
    <row r="966" spans="1:15">
      <c r="A966" s="78"/>
      <c r="B966" s="78"/>
      <c r="M966" s="78"/>
      <c r="N966" s="78"/>
      <c r="O966" s="78"/>
    </row>
    <row r="967" spans="1:15">
      <c r="A967" s="78"/>
      <c r="B967" s="78"/>
      <c r="M967" s="78"/>
      <c r="N967" s="78"/>
      <c r="O967" s="78"/>
    </row>
    <row r="968" spans="1:15">
      <c r="A968" s="78"/>
      <c r="B968" s="78"/>
      <c r="M968" s="78"/>
      <c r="N968" s="78"/>
      <c r="O968" s="78"/>
    </row>
    <row r="969" spans="1:15">
      <c r="A969" s="78"/>
      <c r="B969" s="78"/>
      <c r="M969" s="78"/>
      <c r="N969" s="78"/>
      <c r="O969" s="78"/>
    </row>
    <row r="970" spans="1:15">
      <c r="A970" s="78"/>
      <c r="B970" s="78"/>
      <c r="M970" s="78"/>
      <c r="N970" s="78"/>
      <c r="O970" s="78"/>
    </row>
    <row r="971" spans="1:15">
      <c r="A971" s="78"/>
      <c r="B971" s="78"/>
      <c r="M971" s="78"/>
      <c r="N971" s="78"/>
      <c r="O971" s="78"/>
    </row>
    <row r="972" spans="1:15">
      <c r="A972" s="78"/>
      <c r="B972" s="78"/>
      <c r="M972" s="78"/>
      <c r="N972" s="78"/>
      <c r="O972" s="78"/>
    </row>
    <row r="973" spans="1:15">
      <c r="A973" s="78"/>
      <c r="B973" s="78"/>
      <c r="M973" s="78"/>
      <c r="N973" s="78"/>
      <c r="O973" s="78"/>
    </row>
    <row r="974" spans="1:15">
      <c r="A974" s="78"/>
      <c r="B974" s="78"/>
      <c r="M974" s="78"/>
      <c r="N974" s="78"/>
      <c r="O974" s="78"/>
    </row>
    <row r="975" spans="1:15">
      <c r="A975" s="78"/>
      <c r="B975" s="78"/>
      <c r="M975" s="78"/>
      <c r="N975" s="78"/>
      <c r="O975" s="78"/>
    </row>
    <row r="976" spans="1:15">
      <c r="A976" s="78"/>
      <c r="B976" s="78"/>
      <c r="M976" s="78"/>
      <c r="N976" s="78"/>
      <c r="O976" s="78"/>
    </row>
    <row r="977" spans="1:15">
      <c r="A977" s="78"/>
      <c r="B977" s="78"/>
      <c r="M977" s="78"/>
      <c r="N977" s="78"/>
      <c r="O977" s="78"/>
    </row>
    <row r="978" spans="1:15">
      <c r="A978" s="78"/>
      <c r="B978" s="78"/>
      <c r="M978" s="78"/>
      <c r="N978" s="78"/>
      <c r="O978" s="78"/>
    </row>
    <row r="979" spans="1:15">
      <c r="A979" s="78"/>
      <c r="B979" s="78"/>
      <c r="M979" s="78"/>
      <c r="N979" s="78"/>
      <c r="O979" s="78"/>
    </row>
    <row r="980" spans="1:15">
      <c r="A980" s="78"/>
      <c r="B980" s="78"/>
      <c r="M980" s="78"/>
      <c r="N980" s="78"/>
      <c r="O980" s="78"/>
    </row>
    <row r="981" spans="1:15">
      <c r="A981" s="78"/>
      <c r="B981" s="78"/>
      <c r="M981" s="78"/>
      <c r="N981" s="78"/>
      <c r="O981" s="78"/>
    </row>
    <row r="982" spans="1:15">
      <c r="A982" s="78"/>
      <c r="B982" s="78"/>
      <c r="M982" s="78"/>
      <c r="N982" s="78"/>
      <c r="O982" s="78"/>
    </row>
    <row r="983" spans="1:15">
      <c r="A983" s="78"/>
      <c r="B983" s="78"/>
      <c r="M983" s="78"/>
      <c r="N983" s="78"/>
      <c r="O983" s="78"/>
    </row>
    <row r="984" spans="1:15">
      <c r="A984" s="78"/>
      <c r="B984" s="78"/>
      <c r="M984" s="78"/>
      <c r="N984" s="78"/>
      <c r="O984" s="78"/>
    </row>
    <row r="985" spans="1:15">
      <c r="A985" s="78"/>
      <c r="B985" s="78"/>
      <c r="M985" s="78"/>
      <c r="N985" s="78"/>
      <c r="O985" s="78"/>
    </row>
    <row r="986" spans="1:15">
      <c r="A986" s="78"/>
      <c r="B986" s="78"/>
      <c r="M986" s="78"/>
      <c r="N986" s="78"/>
      <c r="O986" s="78"/>
    </row>
    <row r="987" spans="1:15">
      <c r="A987" s="78"/>
      <c r="B987" s="78"/>
      <c r="M987" s="78"/>
      <c r="N987" s="78"/>
      <c r="O987" s="78"/>
    </row>
    <row r="988" spans="1:15">
      <c r="A988" s="78"/>
      <c r="B988" s="78"/>
      <c r="M988" s="78"/>
      <c r="N988" s="78"/>
      <c r="O988" s="78"/>
    </row>
    <row r="989" spans="1:15">
      <c r="A989" s="78"/>
      <c r="B989" s="78"/>
      <c r="M989" s="78"/>
      <c r="N989" s="78"/>
      <c r="O989" s="78"/>
    </row>
    <row r="990" spans="1:15">
      <c r="A990" s="78"/>
      <c r="B990" s="78"/>
      <c r="M990" s="78"/>
      <c r="N990" s="78"/>
      <c r="O990" s="78"/>
    </row>
    <row r="991" spans="1:15">
      <c r="A991" s="78"/>
      <c r="B991" s="78"/>
      <c r="M991" s="78"/>
      <c r="N991" s="78"/>
      <c r="O991" s="78"/>
    </row>
    <row r="992" spans="1:15">
      <c r="A992" s="78"/>
      <c r="B992" s="78"/>
      <c r="M992" s="78"/>
      <c r="N992" s="78"/>
      <c r="O992" s="78"/>
    </row>
    <row r="993" spans="1:15">
      <c r="A993" s="78"/>
      <c r="B993" s="78"/>
      <c r="M993" s="78"/>
      <c r="N993" s="78"/>
      <c r="O993" s="78"/>
    </row>
    <row r="994" spans="1:15">
      <c r="A994" s="78"/>
      <c r="B994" s="78"/>
      <c r="M994" s="78"/>
      <c r="N994" s="78"/>
      <c r="O994" s="78"/>
    </row>
    <row r="995" spans="1:15">
      <c r="A995" s="78"/>
      <c r="B995" s="78"/>
      <c r="M995" s="78"/>
      <c r="N995" s="78"/>
      <c r="O995" s="78"/>
    </row>
    <row r="996" spans="1:15">
      <c r="A996" s="78"/>
      <c r="B996" s="78"/>
      <c r="M996" s="78"/>
      <c r="N996" s="78"/>
      <c r="O996" s="78"/>
    </row>
    <row r="997" spans="1:15">
      <c r="A997" s="78"/>
      <c r="B997" s="78"/>
      <c r="M997" s="78"/>
      <c r="N997" s="78"/>
      <c r="O997" s="78"/>
    </row>
    <row r="998" spans="1:15">
      <c r="A998" s="78"/>
      <c r="B998" s="78"/>
      <c r="M998" s="78"/>
      <c r="N998" s="78"/>
      <c r="O998" s="78"/>
    </row>
    <row r="999" spans="1:15">
      <c r="A999" s="78"/>
      <c r="B999" s="78"/>
      <c r="M999" s="78"/>
      <c r="N999" s="78"/>
      <c r="O999" s="78"/>
    </row>
    <row r="1000" spans="1:15">
      <c r="A1000" s="78"/>
      <c r="B1000" s="78"/>
      <c r="M1000" s="78"/>
      <c r="N1000" s="78"/>
      <c r="O1000" s="78"/>
    </row>
    <row r="1001" spans="1:15">
      <c r="A1001" s="78"/>
      <c r="B1001" s="78"/>
      <c r="M1001" s="78"/>
      <c r="N1001" s="78"/>
      <c r="O1001" s="78"/>
    </row>
    <row r="1002" spans="1:15">
      <c r="A1002" s="78"/>
      <c r="B1002" s="78"/>
      <c r="M1002" s="78"/>
      <c r="N1002" s="78"/>
      <c r="O1002" s="78"/>
    </row>
    <row r="1003" spans="1:15">
      <c r="A1003" s="78"/>
      <c r="B1003" s="78"/>
      <c r="M1003" s="78"/>
      <c r="N1003" s="78"/>
      <c r="O1003" s="78"/>
    </row>
    <row r="1004" spans="1:15">
      <c r="A1004" s="78"/>
      <c r="B1004" s="78"/>
      <c r="M1004" s="78"/>
      <c r="N1004" s="78"/>
      <c r="O1004" s="78"/>
    </row>
    <row r="1005" spans="1:15">
      <c r="A1005" s="78"/>
      <c r="B1005" s="78"/>
      <c r="M1005" s="78"/>
      <c r="N1005" s="78"/>
      <c r="O1005" s="78"/>
    </row>
    <row r="1006" spans="1:15">
      <c r="A1006" s="78"/>
      <c r="B1006" s="78"/>
      <c r="M1006" s="78"/>
      <c r="N1006" s="78"/>
      <c r="O1006" s="78"/>
    </row>
    <row r="1007" spans="1:15">
      <c r="A1007" s="78"/>
      <c r="B1007" s="78"/>
      <c r="M1007" s="78"/>
      <c r="N1007" s="78"/>
      <c r="O1007" s="78"/>
    </row>
    <row r="1008" spans="1:15">
      <c r="A1008" s="78"/>
      <c r="B1008" s="78"/>
      <c r="M1008" s="78"/>
      <c r="N1008" s="78"/>
      <c r="O1008" s="78"/>
    </row>
    <row r="1009" spans="1:15">
      <c r="A1009" s="78"/>
      <c r="B1009" s="78"/>
      <c r="M1009" s="78"/>
      <c r="N1009" s="78"/>
      <c r="O1009" s="78"/>
    </row>
    <row r="1010" spans="1:15">
      <c r="A1010" s="78"/>
      <c r="B1010" s="78"/>
      <c r="M1010" s="78"/>
      <c r="N1010" s="78"/>
      <c r="O1010" s="78"/>
    </row>
    <row r="1011" spans="1:15">
      <c r="A1011" s="78"/>
      <c r="B1011" s="78"/>
      <c r="M1011" s="78"/>
      <c r="N1011" s="78"/>
      <c r="O1011" s="78"/>
    </row>
    <row r="1012" spans="1:15">
      <c r="A1012" s="78"/>
      <c r="B1012" s="78"/>
      <c r="M1012" s="78"/>
      <c r="N1012" s="78"/>
      <c r="O1012" s="78"/>
    </row>
    <row r="1013" spans="1:15">
      <c r="A1013" s="78"/>
      <c r="B1013" s="78"/>
      <c r="M1013" s="78"/>
      <c r="N1013" s="78"/>
      <c r="O1013" s="78"/>
    </row>
    <row r="1014" spans="1:15">
      <c r="A1014" s="78"/>
      <c r="B1014" s="78"/>
      <c r="M1014" s="78"/>
      <c r="N1014" s="78"/>
      <c r="O1014" s="78"/>
    </row>
    <row r="1015" spans="1:15">
      <c r="A1015" s="78"/>
      <c r="B1015" s="78"/>
      <c r="M1015" s="78"/>
      <c r="N1015" s="78"/>
      <c r="O1015" s="78"/>
    </row>
    <row r="1016" spans="1:15">
      <c r="A1016" s="78"/>
      <c r="B1016" s="78"/>
      <c r="M1016" s="78"/>
      <c r="N1016" s="78"/>
      <c r="O1016" s="78"/>
    </row>
    <row r="1017" spans="1:15">
      <c r="A1017" s="78"/>
      <c r="B1017" s="78"/>
      <c r="M1017" s="78"/>
      <c r="N1017" s="78"/>
      <c r="O1017" s="78"/>
    </row>
    <row r="1018" spans="1:15">
      <c r="A1018" s="78"/>
      <c r="B1018" s="78"/>
      <c r="M1018" s="78"/>
      <c r="N1018" s="78"/>
      <c r="O1018" s="78"/>
    </row>
    <row r="1019" spans="1:15">
      <c r="A1019" s="78"/>
      <c r="B1019" s="78"/>
      <c r="M1019" s="78"/>
      <c r="N1019" s="78"/>
      <c r="O1019" s="78"/>
    </row>
    <row r="1020" spans="1:15">
      <c r="A1020" s="78"/>
      <c r="B1020" s="78"/>
      <c r="M1020" s="78"/>
      <c r="N1020" s="78"/>
      <c r="O1020" s="78"/>
    </row>
    <row r="1021" spans="1:15">
      <c r="A1021" s="78"/>
      <c r="B1021" s="78"/>
      <c r="M1021" s="78"/>
      <c r="N1021" s="78"/>
      <c r="O1021" s="78"/>
    </row>
    <row r="1022" spans="1:15">
      <c r="A1022" s="78"/>
      <c r="B1022" s="78"/>
      <c r="M1022" s="78"/>
      <c r="N1022" s="78"/>
      <c r="O1022" s="78"/>
    </row>
    <row r="1023" spans="1:15">
      <c r="A1023" s="78"/>
      <c r="B1023" s="78"/>
      <c r="M1023" s="78"/>
      <c r="N1023" s="78"/>
      <c r="O1023" s="78"/>
    </row>
    <row r="1024" spans="1:15">
      <c r="A1024" s="78"/>
      <c r="B1024" s="78"/>
      <c r="M1024" s="78"/>
      <c r="N1024" s="78"/>
      <c r="O1024" s="78"/>
    </row>
    <row r="1025" spans="1:15">
      <c r="A1025" s="78"/>
      <c r="B1025" s="78"/>
      <c r="M1025" s="78"/>
      <c r="N1025" s="78"/>
      <c r="O1025" s="78"/>
    </row>
    <row r="1026" spans="1:15">
      <c r="A1026" s="78"/>
      <c r="B1026" s="78"/>
      <c r="M1026" s="78"/>
      <c r="N1026" s="78"/>
      <c r="O1026" s="78"/>
    </row>
    <row r="1027" spans="1:15">
      <c r="A1027" s="78"/>
      <c r="B1027" s="78"/>
      <c r="M1027" s="78"/>
      <c r="N1027" s="78"/>
      <c r="O1027" s="78"/>
    </row>
    <row r="1028" spans="1:15">
      <c r="A1028" s="78"/>
      <c r="B1028" s="78"/>
      <c r="M1028" s="78"/>
      <c r="N1028" s="78"/>
      <c r="O1028" s="78"/>
    </row>
    <row r="1029" spans="1:15">
      <c r="A1029" s="78"/>
      <c r="B1029" s="78"/>
      <c r="M1029" s="78"/>
      <c r="N1029" s="78"/>
      <c r="O1029" s="78"/>
    </row>
    <row r="1030" spans="1:15">
      <c r="A1030" s="78"/>
      <c r="B1030" s="78"/>
      <c r="M1030" s="78"/>
      <c r="N1030" s="78"/>
      <c r="O1030" s="78"/>
    </row>
    <row r="1031" spans="1:15">
      <c r="A1031" s="78"/>
      <c r="B1031" s="78"/>
      <c r="M1031" s="78"/>
      <c r="N1031" s="78"/>
      <c r="O1031" s="78"/>
    </row>
    <row r="1032" spans="1:15">
      <c r="A1032" s="78"/>
      <c r="B1032" s="78"/>
      <c r="M1032" s="78"/>
      <c r="N1032" s="78"/>
      <c r="O1032" s="78"/>
    </row>
    <row r="1033" spans="1:15">
      <c r="A1033" s="78"/>
      <c r="B1033" s="78"/>
      <c r="M1033" s="78"/>
      <c r="N1033" s="78"/>
      <c r="O1033" s="78"/>
    </row>
    <row r="1034" spans="1:15">
      <c r="A1034" s="78"/>
      <c r="B1034" s="78"/>
      <c r="M1034" s="78"/>
      <c r="N1034" s="78"/>
      <c r="O1034" s="78"/>
    </row>
    <row r="1035" spans="1:15">
      <c r="A1035" s="78"/>
      <c r="B1035" s="78"/>
      <c r="M1035" s="78"/>
      <c r="N1035" s="78"/>
      <c r="O1035" s="78"/>
    </row>
    <row r="1036" spans="1:15">
      <c r="A1036" s="78"/>
      <c r="B1036" s="78"/>
      <c r="M1036" s="78"/>
      <c r="N1036" s="78"/>
      <c r="O1036" s="78"/>
    </row>
    <row r="1037" spans="1:15">
      <c r="A1037" s="78"/>
      <c r="B1037" s="78"/>
      <c r="M1037" s="78"/>
      <c r="N1037" s="78"/>
      <c r="O1037" s="78"/>
    </row>
    <row r="1038" spans="1:15">
      <c r="A1038" s="78"/>
      <c r="B1038" s="78"/>
      <c r="M1038" s="78"/>
      <c r="N1038" s="78"/>
      <c r="O1038" s="78"/>
    </row>
    <row r="1039" spans="1:15">
      <c r="A1039" s="78"/>
      <c r="B1039" s="78"/>
      <c r="M1039" s="78"/>
      <c r="N1039" s="78"/>
      <c r="O1039" s="78"/>
    </row>
    <row r="1040" spans="1:15">
      <c r="A1040" s="78"/>
      <c r="B1040" s="78"/>
      <c r="M1040" s="78"/>
      <c r="N1040" s="78"/>
      <c r="O1040" s="78"/>
    </row>
    <row r="1041" spans="1:15">
      <c r="A1041" s="78"/>
      <c r="B1041" s="78"/>
      <c r="M1041" s="78"/>
      <c r="N1041" s="78"/>
      <c r="O1041" s="78"/>
    </row>
    <row r="1042" spans="1:15">
      <c r="A1042" s="78"/>
      <c r="B1042" s="78"/>
      <c r="M1042" s="78"/>
      <c r="N1042" s="78"/>
      <c r="O1042" s="78"/>
    </row>
    <row r="1043" spans="1:15">
      <c r="A1043" s="78"/>
      <c r="B1043" s="78"/>
      <c r="M1043" s="78"/>
      <c r="N1043" s="78"/>
      <c r="O1043" s="78"/>
    </row>
    <row r="1044" spans="1:15">
      <c r="A1044" s="78"/>
      <c r="B1044" s="78"/>
      <c r="M1044" s="78"/>
      <c r="N1044" s="78"/>
      <c r="O1044" s="78"/>
    </row>
    <row r="1045" spans="1:15">
      <c r="A1045" s="78"/>
      <c r="B1045" s="78"/>
      <c r="M1045" s="78"/>
      <c r="N1045" s="78"/>
      <c r="O1045" s="78"/>
    </row>
    <row r="1046" spans="1:15">
      <c r="A1046" s="78"/>
      <c r="B1046" s="78"/>
      <c r="M1046" s="78"/>
      <c r="N1046" s="78"/>
      <c r="O1046" s="78"/>
    </row>
    <row r="1047" spans="1:15">
      <c r="A1047" s="78"/>
      <c r="B1047" s="78"/>
      <c r="M1047" s="78"/>
      <c r="N1047" s="78"/>
      <c r="O1047" s="78"/>
    </row>
    <row r="1048" spans="1:15">
      <c r="A1048" s="78"/>
      <c r="B1048" s="78"/>
      <c r="M1048" s="78"/>
      <c r="N1048" s="78"/>
      <c r="O1048" s="78"/>
    </row>
    <row r="1049" spans="1:15">
      <c r="A1049" s="78"/>
      <c r="B1049" s="78"/>
      <c r="M1049" s="78"/>
      <c r="N1049" s="78"/>
      <c r="O1049" s="78"/>
    </row>
    <row r="1050" spans="1:15">
      <c r="A1050" s="78"/>
      <c r="B1050" s="78"/>
      <c r="M1050" s="78"/>
      <c r="N1050" s="78"/>
      <c r="O1050" s="78"/>
    </row>
    <row r="1051" spans="1:15">
      <c r="A1051" s="78"/>
      <c r="B1051" s="78"/>
      <c r="M1051" s="78"/>
      <c r="N1051" s="78"/>
      <c r="O1051" s="78"/>
    </row>
    <row r="1052" spans="1:15">
      <c r="A1052" s="78"/>
      <c r="B1052" s="78"/>
      <c r="M1052" s="78"/>
      <c r="N1052" s="78"/>
      <c r="O1052" s="78"/>
    </row>
    <row r="1053" spans="1:15">
      <c r="A1053" s="78"/>
      <c r="B1053" s="78"/>
      <c r="M1053" s="78"/>
      <c r="N1053" s="78"/>
      <c r="O1053" s="78"/>
    </row>
    <row r="1054" spans="1:15">
      <c r="A1054" s="78"/>
      <c r="B1054" s="78"/>
      <c r="M1054" s="78"/>
      <c r="N1054" s="78"/>
      <c r="O1054" s="78"/>
    </row>
    <row r="1055" spans="1:15">
      <c r="A1055" s="78"/>
      <c r="B1055" s="78"/>
      <c r="M1055" s="78"/>
      <c r="N1055" s="78"/>
      <c r="O1055" s="78"/>
    </row>
    <row r="1056" spans="1:15">
      <c r="A1056" s="78"/>
      <c r="B1056" s="78"/>
      <c r="M1056" s="78"/>
      <c r="N1056" s="78"/>
      <c r="O1056" s="78"/>
    </row>
    <row r="1057" spans="1:15">
      <c r="A1057" s="78"/>
      <c r="B1057" s="78"/>
      <c r="M1057" s="78"/>
      <c r="N1057" s="78"/>
      <c r="O1057" s="78"/>
    </row>
    <row r="1058" spans="1:15">
      <c r="A1058" s="78"/>
      <c r="B1058" s="78"/>
      <c r="M1058" s="78"/>
      <c r="N1058" s="78"/>
      <c r="O1058" s="78"/>
    </row>
    <row r="1059" spans="1:15">
      <c r="A1059" s="78"/>
      <c r="B1059" s="78"/>
      <c r="M1059" s="78"/>
      <c r="N1059" s="78"/>
      <c r="O1059" s="78"/>
    </row>
    <row r="1060" spans="1:15">
      <c r="A1060" s="78"/>
      <c r="B1060" s="78"/>
      <c r="M1060" s="78"/>
      <c r="N1060" s="78"/>
      <c r="O1060" s="78"/>
    </row>
    <row r="1061" spans="1:15">
      <c r="A1061" s="78"/>
      <c r="B1061" s="78"/>
      <c r="M1061" s="78"/>
      <c r="N1061" s="78"/>
      <c r="O1061" s="78"/>
    </row>
    <row r="1062" spans="1:15">
      <c r="A1062" s="78"/>
      <c r="B1062" s="78"/>
      <c r="M1062" s="78"/>
      <c r="N1062" s="78"/>
      <c r="O1062" s="78"/>
    </row>
    <row r="1063" spans="1:15">
      <c r="A1063" s="78"/>
      <c r="B1063" s="78"/>
      <c r="M1063" s="78"/>
      <c r="N1063" s="78"/>
      <c r="O1063" s="78"/>
    </row>
    <row r="1064" spans="1:15">
      <c r="A1064" s="78"/>
      <c r="B1064" s="78"/>
      <c r="M1064" s="78"/>
      <c r="N1064" s="78"/>
      <c r="O1064" s="78"/>
    </row>
    <row r="1065" spans="1:15">
      <c r="A1065" s="78"/>
      <c r="B1065" s="78"/>
      <c r="M1065" s="78"/>
      <c r="N1065" s="78"/>
      <c r="O1065" s="78"/>
    </row>
    <row r="1066" spans="1:15">
      <c r="A1066" s="78"/>
      <c r="B1066" s="78"/>
      <c r="M1066" s="78"/>
      <c r="N1066" s="78"/>
      <c r="O1066" s="78"/>
    </row>
    <row r="1067" spans="1:15">
      <c r="A1067" s="78"/>
      <c r="B1067" s="78"/>
      <c r="M1067" s="78"/>
      <c r="N1067" s="78"/>
      <c r="O1067" s="78"/>
    </row>
    <row r="1068" spans="1:15">
      <c r="A1068" s="78"/>
      <c r="B1068" s="78"/>
      <c r="M1068" s="78"/>
      <c r="N1068" s="78"/>
      <c r="O1068" s="78"/>
    </row>
    <row r="1069" spans="1:15">
      <c r="A1069" s="78"/>
      <c r="B1069" s="78"/>
      <c r="M1069" s="78"/>
      <c r="N1069" s="78"/>
      <c r="O1069" s="78"/>
    </row>
    <row r="1070" spans="1:15">
      <c r="A1070" s="78"/>
      <c r="B1070" s="78"/>
      <c r="M1070" s="78"/>
      <c r="N1070" s="78"/>
      <c r="O1070" s="78"/>
    </row>
    <row r="1071" spans="1:15">
      <c r="A1071" s="78"/>
      <c r="B1071" s="78"/>
      <c r="M1071" s="78"/>
      <c r="N1071" s="78"/>
      <c r="O1071" s="78"/>
    </row>
    <row r="1072" spans="1:15">
      <c r="A1072" s="78"/>
      <c r="B1072" s="78"/>
      <c r="M1072" s="78"/>
      <c r="N1072" s="78"/>
      <c r="O1072" s="78"/>
    </row>
    <row r="1073" spans="1:15">
      <c r="A1073" s="78"/>
      <c r="B1073" s="78"/>
      <c r="M1073" s="78"/>
      <c r="N1073" s="78"/>
      <c r="O1073" s="78"/>
    </row>
    <row r="1074" spans="1:15">
      <c r="A1074" s="78"/>
      <c r="B1074" s="78"/>
      <c r="M1074" s="78"/>
      <c r="N1074" s="78"/>
      <c r="O1074" s="78"/>
    </row>
    <row r="1075" spans="1:15">
      <c r="A1075" s="78"/>
      <c r="B1075" s="78"/>
      <c r="M1075" s="78"/>
      <c r="N1075" s="78"/>
      <c r="O1075" s="78"/>
    </row>
    <row r="1076" spans="1:15">
      <c r="A1076" s="78"/>
      <c r="B1076" s="78"/>
      <c r="M1076" s="78"/>
      <c r="N1076" s="78"/>
      <c r="O1076" s="78"/>
    </row>
    <row r="1077" spans="1:15">
      <c r="A1077" s="78"/>
      <c r="B1077" s="78"/>
      <c r="M1077" s="78"/>
      <c r="N1077" s="78"/>
      <c r="O1077" s="78"/>
    </row>
    <row r="1078" spans="1:15">
      <c r="A1078" s="78"/>
      <c r="B1078" s="78"/>
      <c r="M1078" s="78"/>
      <c r="N1078" s="78"/>
      <c r="O1078" s="78"/>
    </row>
    <row r="1079" spans="1:15">
      <c r="A1079" s="78"/>
      <c r="B1079" s="78"/>
      <c r="M1079" s="78"/>
      <c r="N1079" s="78"/>
      <c r="O1079" s="78"/>
    </row>
    <row r="1080" spans="1:15">
      <c r="A1080" s="78"/>
      <c r="B1080" s="78"/>
      <c r="M1080" s="78"/>
      <c r="N1080" s="78"/>
      <c r="O1080" s="78"/>
    </row>
    <row r="1081" spans="1:15">
      <c r="A1081" s="78"/>
      <c r="B1081" s="78"/>
      <c r="M1081" s="78"/>
      <c r="N1081" s="78"/>
      <c r="O1081" s="78"/>
    </row>
    <row r="1082" spans="1:15">
      <c r="A1082" s="78"/>
      <c r="B1082" s="78"/>
      <c r="M1082" s="78"/>
      <c r="N1082" s="78"/>
      <c r="O1082" s="78"/>
    </row>
    <row r="1083" spans="1:15">
      <c r="A1083" s="78"/>
      <c r="B1083" s="78"/>
      <c r="M1083" s="78"/>
      <c r="N1083" s="78"/>
      <c r="O1083" s="78"/>
    </row>
    <row r="1084" spans="1:15">
      <c r="A1084" s="78"/>
      <c r="B1084" s="78"/>
      <c r="M1084" s="78"/>
      <c r="N1084" s="78"/>
      <c r="O1084" s="78"/>
    </row>
    <row r="1085" spans="1:15">
      <c r="A1085" s="78"/>
      <c r="B1085" s="78"/>
      <c r="M1085" s="78"/>
      <c r="N1085" s="78"/>
      <c r="O1085" s="78"/>
    </row>
    <row r="1086" spans="1:15">
      <c r="A1086" s="78"/>
      <c r="B1086" s="78"/>
      <c r="M1086" s="78"/>
      <c r="N1086" s="78"/>
      <c r="O1086" s="78"/>
    </row>
    <row r="1087" spans="1:15">
      <c r="A1087" s="78"/>
      <c r="B1087" s="78"/>
      <c r="M1087" s="78"/>
      <c r="N1087" s="78"/>
      <c r="O1087" s="78"/>
    </row>
    <row r="1088" spans="1:15">
      <c r="A1088" s="78"/>
      <c r="B1088" s="78"/>
      <c r="M1088" s="78"/>
      <c r="N1088" s="78"/>
      <c r="O1088" s="78"/>
    </row>
    <row r="1089" spans="1:15">
      <c r="A1089" s="78"/>
      <c r="B1089" s="78"/>
      <c r="M1089" s="78"/>
      <c r="N1089" s="78"/>
      <c r="O1089" s="78"/>
    </row>
    <row r="1090" spans="1:15">
      <c r="A1090" s="78"/>
      <c r="B1090" s="78"/>
      <c r="M1090" s="78"/>
      <c r="N1090" s="78"/>
      <c r="O1090" s="78"/>
    </row>
    <row r="1091" spans="1:15">
      <c r="A1091" s="78"/>
      <c r="B1091" s="78"/>
      <c r="M1091" s="78"/>
      <c r="N1091" s="78"/>
      <c r="O1091" s="78"/>
    </row>
    <row r="1092" spans="1:15">
      <c r="A1092" s="78"/>
      <c r="B1092" s="78"/>
      <c r="M1092" s="78"/>
      <c r="N1092" s="78"/>
      <c r="O1092" s="78"/>
    </row>
    <row r="1093" spans="1:15">
      <c r="A1093" s="78"/>
      <c r="B1093" s="78"/>
      <c r="M1093" s="78"/>
      <c r="N1093" s="78"/>
      <c r="O1093" s="78"/>
    </row>
    <row r="1094" spans="1:15">
      <c r="A1094" s="78"/>
      <c r="B1094" s="78"/>
      <c r="M1094" s="78"/>
      <c r="N1094" s="78"/>
      <c r="O1094" s="78"/>
    </row>
    <row r="1095" spans="1:15">
      <c r="A1095" s="78"/>
      <c r="B1095" s="78"/>
      <c r="M1095" s="78"/>
      <c r="N1095" s="78"/>
      <c r="O1095" s="78"/>
    </row>
    <row r="1096" spans="1:15">
      <c r="A1096" s="78"/>
      <c r="B1096" s="78"/>
      <c r="M1096" s="78"/>
      <c r="N1096" s="78"/>
      <c r="O1096" s="78"/>
    </row>
    <row r="1097" spans="1:15">
      <c r="A1097" s="78"/>
      <c r="B1097" s="78"/>
      <c r="M1097" s="78"/>
      <c r="N1097" s="78"/>
      <c r="O1097" s="78"/>
    </row>
    <row r="1098" spans="1:15">
      <c r="A1098" s="78"/>
      <c r="B1098" s="78"/>
      <c r="M1098" s="78"/>
      <c r="N1098" s="78"/>
      <c r="O1098" s="78"/>
    </row>
    <row r="1099" spans="1:15">
      <c r="A1099" s="78"/>
      <c r="B1099" s="78"/>
      <c r="M1099" s="78"/>
      <c r="N1099" s="78"/>
      <c r="O1099" s="78"/>
    </row>
    <row r="1100" spans="1:15">
      <c r="A1100" s="78"/>
      <c r="B1100" s="78"/>
      <c r="M1100" s="78"/>
      <c r="N1100" s="78"/>
      <c r="O1100" s="78"/>
    </row>
    <row r="1101" spans="1:15">
      <c r="A1101" s="78"/>
      <c r="B1101" s="78"/>
      <c r="M1101" s="78"/>
      <c r="N1101" s="78"/>
      <c r="O1101" s="78"/>
    </row>
    <row r="1102" spans="1:15">
      <c r="A1102" s="78"/>
      <c r="B1102" s="78"/>
      <c r="M1102" s="78"/>
      <c r="N1102" s="78"/>
      <c r="O1102" s="78"/>
    </row>
    <row r="1103" spans="1:15">
      <c r="A1103" s="78"/>
      <c r="B1103" s="78"/>
      <c r="M1103" s="78"/>
      <c r="N1103" s="78"/>
      <c r="O1103" s="78"/>
    </row>
    <row r="1104" spans="1:15">
      <c r="A1104" s="78"/>
      <c r="B1104" s="78"/>
      <c r="M1104" s="78"/>
      <c r="N1104" s="78"/>
      <c r="O1104" s="78"/>
    </row>
    <row r="1105" spans="1:15">
      <c r="A1105" s="78"/>
      <c r="B1105" s="78"/>
      <c r="M1105" s="78"/>
      <c r="N1105" s="78"/>
      <c r="O1105" s="78"/>
    </row>
    <row r="1106" spans="1:15">
      <c r="A1106" s="78"/>
      <c r="B1106" s="78"/>
      <c r="M1106" s="78"/>
      <c r="N1106" s="78"/>
      <c r="O1106" s="78"/>
    </row>
    <row r="1107" spans="1:15">
      <c r="A1107" s="78"/>
      <c r="B1107" s="78"/>
      <c r="M1107" s="78"/>
      <c r="N1107" s="78"/>
      <c r="O1107" s="78"/>
    </row>
    <row r="1108" spans="1:15">
      <c r="A1108" s="78"/>
      <c r="B1108" s="78"/>
      <c r="M1108" s="78"/>
      <c r="N1108" s="78"/>
      <c r="O1108" s="78"/>
    </row>
    <row r="1109" spans="1:15">
      <c r="A1109" s="78"/>
      <c r="B1109" s="78"/>
      <c r="M1109" s="78"/>
      <c r="N1109" s="78"/>
      <c r="O1109" s="78"/>
    </row>
    <row r="1110" spans="1:15">
      <c r="A1110" s="78"/>
      <c r="B1110" s="78"/>
      <c r="M1110" s="78"/>
      <c r="N1110" s="78"/>
      <c r="O1110" s="78"/>
    </row>
    <row r="1111" spans="1:15">
      <c r="A1111" s="78"/>
      <c r="B1111" s="78"/>
      <c r="M1111" s="78"/>
      <c r="N1111" s="78"/>
      <c r="O1111" s="78"/>
    </row>
    <row r="1112" spans="1:15">
      <c r="A1112" s="78"/>
      <c r="B1112" s="78"/>
      <c r="M1112" s="78"/>
      <c r="N1112" s="78"/>
      <c r="O1112" s="78"/>
    </row>
    <row r="1113" spans="1:15">
      <c r="A1113" s="78"/>
      <c r="B1113" s="78"/>
      <c r="M1113" s="78"/>
      <c r="N1113" s="78"/>
      <c r="O1113" s="78"/>
    </row>
    <row r="1114" spans="1:15">
      <c r="A1114" s="78"/>
      <c r="B1114" s="78"/>
      <c r="M1114" s="78"/>
      <c r="N1114" s="78"/>
      <c r="O1114" s="78"/>
    </row>
    <row r="1115" spans="1:15">
      <c r="A1115" s="78"/>
      <c r="B1115" s="78"/>
      <c r="M1115" s="78"/>
      <c r="N1115" s="78"/>
      <c r="O1115" s="78"/>
    </row>
    <row r="1116" spans="1:15">
      <c r="A1116" s="78"/>
      <c r="B1116" s="78"/>
      <c r="M1116" s="78"/>
      <c r="N1116" s="78"/>
      <c r="O1116" s="78"/>
    </row>
    <row r="1117" spans="1:15">
      <c r="A1117" s="78"/>
      <c r="B1117" s="78"/>
      <c r="M1117" s="78"/>
      <c r="N1117" s="78"/>
      <c r="O1117" s="78"/>
    </row>
  </sheetData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B1:P65"/>
  <sheetViews>
    <sheetView showGridLines="0" zoomScale="85" zoomScaleNormal="85" workbookViewId="0">
      <pane xSplit="3" ySplit="6" topLeftCell="D55" activePane="bottomRight" state="frozen"/>
      <selection pane="topRight"/>
      <selection pane="bottomLeft"/>
      <selection pane="bottomRight" activeCell="I61" sqref="I61"/>
    </sheetView>
  </sheetViews>
  <sheetFormatPr defaultColWidth="9" defaultRowHeight="16.5"/>
  <cols>
    <col min="1" max="1" width="4.125" style="17" customWidth="1"/>
    <col min="2" max="2" width="0.875" style="17" customWidth="1"/>
    <col min="3" max="3" width="36.5" style="97" customWidth="1"/>
    <col min="4" max="8" width="14.5" style="17" customWidth="1"/>
    <col min="9" max="13" width="13.875" style="17" customWidth="1"/>
    <col min="14" max="14" width="0.875" style="17" customWidth="1"/>
    <col min="15" max="16384" width="9" style="17"/>
  </cols>
  <sheetData>
    <row r="1" spans="2:14" s="188" customFormat="1" ht="12" customHeight="1">
      <c r="C1" s="236"/>
    </row>
    <row r="2" spans="2:14" s="221" customFormat="1" ht="12" customHeight="1">
      <c r="C2" s="223"/>
      <c r="H2" s="223"/>
    </row>
    <row r="3" spans="2:14" s="221" customFormat="1" ht="12" customHeight="1">
      <c r="C3" s="237"/>
      <c r="D3" s="225"/>
      <c r="E3" s="225"/>
      <c r="F3" s="225"/>
      <c r="G3" s="225"/>
      <c r="H3" s="225"/>
      <c r="I3" s="226"/>
      <c r="J3" s="226"/>
      <c r="K3" s="226"/>
      <c r="L3" s="226"/>
      <c r="M3" s="238"/>
      <c r="N3" s="226"/>
    </row>
    <row r="4" spans="2:14" s="96" customFormat="1" ht="15.6" customHeight="1">
      <c r="C4" s="98"/>
      <c r="D4" s="99"/>
      <c r="E4" s="99"/>
      <c r="F4" s="99"/>
      <c r="G4" s="99"/>
      <c r="H4" s="99"/>
      <c r="I4" s="109"/>
      <c r="J4" s="109"/>
      <c r="K4" s="109"/>
      <c r="L4" s="109"/>
      <c r="M4" s="109"/>
      <c r="N4" s="109"/>
    </row>
    <row r="5" spans="2:14" s="96" customFormat="1" ht="6" customHeight="1">
      <c r="B5" s="221"/>
      <c r="C5" s="237"/>
      <c r="D5" s="225"/>
      <c r="E5" s="225"/>
      <c r="F5" s="225"/>
      <c r="G5" s="225"/>
      <c r="H5" s="225"/>
      <c r="I5" s="226"/>
      <c r="J5" s="226"/>
      <c r="K5" s="226"/>
      <c r="L5" s="226"/>
      <c r="M5" s="226"/>
      <c r="N5" s="226"/>
    </row>
    <row r="6" spans="2:14" s="78" customFormat="1" ht="24.95" customHeight="1">
      <c r="B6" s="188"/>
      <c r="C6" s="239" t="s">
        <v>708</v>
      </c>
      <c r="D6" s="240">
        <v>2014</v>
      </c>
      <c r="E6" s="240">
        <v>2015</v>
      </c>
      <c r="F6" s="240">
        <v>2016</v>
      </c>
      <c r="G6" s="240">
        <v>2017</v>
      </c>
      <c r="H6" s="240">
        <v>2018</v>
      </c>
      <c r="I6" s="241" t="s">
        <v>24</v>
      </c>
      <c r="J6" s="241" t="s">
        <v>25</v>
      </c>
      <c r="K6" s="241" t="s">
        <v>26</v>
      </c>
      <c r="L6" s="241" t="s">
        <v>27</v>
      </c>
      <c r="M6" s="241" t="s">
        <v>28</v>
      </c>
      <c r="N6" s="188"/>
    </row>
    <row r="7" spans="2:14" ht="24.95" customHeight="1">
      <c r="B7" s="188"/>
      <c r="C7" s="100" t="s">
        <v>437</v>
      </c>
      <c r="D7" s="350">
        <f>利润表!C5</f>
        <v>1469.32</v>
      </c>
      <c r="E7" s="350">
        <f>利润表!D5</f>
        <v>1469.96</v>
      </c>
      <c r="F7" s="350">
        <f>利润表!E5</f>
        <v>1566.19</v>
      </c>
      <c r="G7" s="350">
        <f>利润表!F5</f>
        <v>1790.2</v>
      </c>
      <c r="H7" s="350">
        <f>利润表!G5</f>
        <v>1974.56</v>
      </c>
      <c r="I7" s="350">
        <f>利润表!H5</f>
        <v>2230.5565280131327</v>
      </c>
      <c r="J7" s="350">
        <f>利润表!I5</f>
        <v>2645.6175034524299</v>
      </c>
      <c r="K7" s="350">
        <f>利润表!J5</f>
        <v>3236.6843206034014</v>
      </c>
      <c r="L7" s="350">
        <f>利润表!K5</f>
        <v>4021.0919932265233</v>
      </c>
      <c r="M7" s="350">
        <f>利润表!L5</f>
        <v>5073.6652774429631</v>
      </c>
      <c r="N7" s="188">
        <f>利润表!M5</f>
        <v>0</v>
      </c>
    </row>
    <row r="8" spans="2:14" ht="24.95" customHeight="1">
      <c r="B8" s="188"/>
      <c r="C8" s="102" t="s">
        <v>438</v>
      </c>
      <c r="D8" s="350">
        <f>利润表!C6</f>
        <v>1469.32</v>
      </c>
      <c r="E8" s="350">
        <f>利润表!D6</f>
        <v>1469.96</v>
      </c>
      <c r="F8" s="350">
        <f>利润表!E6</f>
        <v>1566.19</v>
      </c>
      <c r="G8" s="350">
        <f>利润表!F6</f>
        <v>1790.2</v>
      </c>
      <c r="H8" s="350">
        <f>利润表!G6</f>
        <v>1974.56</v>
      </c>
      <c r="I8" s="350">
        <f>利润表!H6</f>
        <v>2230.5565280131327</v>
      </c>
      <c r="J8" s="350">
        <f>利润表!I6</f>
        <v>2645.6175034524299</v>
      </c>
      <c r="K8" s="350">
        <f>利润表!J6</f>
        <v>3236.6843206034014</v>
      </c>
      <c r="L8" s="350">
        <f>利润表!K6</f>
        <v>4021.0919932265233</v>
      </c>
      <c r="M8" s="350">
        <f>利润表!L6</f>
        <v>5073.6652774429631</v>
      </c>
      <c r="N8" s="188">
        <f>利润表!M6</f>
        <v>0</v>
      </c>
    </row>
    <row r="9" spans="2:14" ht="24.95" customHeight="1">
      <c r="B9" s="188"/>
      <c r="C9" s="103" t="s">
        <v>439</v>
      </c>
      <c r="D9" s="104"/>
      <c r="E9" s="104">
        <f>E7/D7-1</f>
        <v>4.3557564043239516E-4</v>
      </c>
      <c r="F9" s="104">
        <f t="shared" ref="F9:M9" si="0">F7/E7-1</f>
        <v>6.5464366377316452E-2</v>
      </c>
      <c r="G9" s="104">
        <f t="shared" si="0"/>
        <v>0.14302862360250024</v>
      </c>
      <c r="H9" s="104">
        <f t="shared" si="0"/>
        <v>0.10298290693777234</v>
      </c>
      <c r="I9" s="104">
        <f t="shared" si="0"/>
        <v>0.12964737866316178</v>
      </c>
      <c r="J9" s="104">
        <f t="shared" si="0"/>
        <v>0.18607955917127672</v>
      </c>
      <c r="K9" s="104">
        <f t="shared" si="0"/>
        <v>0.22341355709192734</v>
      </c>
      <c r="L9" s="104">
        <f t="shared" si="0"/>
        <v>0.24234914342121816</v>
      </c>
      <c r="M9" s="104">
        <f t="shared" si="0"/>
        <v>0.26176304496129044</v>
      </c>
      <c r="N9" s="188"/>
    </row>
    <row r="10" spans="2:14" ht="24.95" customHeight="1">
      <c r="B10" s="188"/>
      <c r="C10" s="438"/>
      <c r="D10" s="439"/>
      <c r="E10" s="439"/>
      <c r="F10" s="439"/>
      <c r="G10" s="439"/>
      <c r="H10" s="439"/>
      <c r="I10" s="439"/>
      <c r="J10" s="439"/>
      <c r="K10" s="439"/>
      <c r="L10" s="439"/>
      <c r="M10" s="440"/>
      <c r="N10" s="188"/>
    </row>
    <row r="11" spans="2:14" ht="24.95" customHeight="1">
      <c r="B11" s="188"/>
      <c r="C11" s="100" t="s">
        <v>440</v>
      </c>
      <c r="D11" s="350">
        <f>利润表!C11</f>
        <v>1319.22</v>
      </c>
      <c r="E11" s="350">
        <f>利润表!D11</f>
        <v>1321.07</v>
      </c>
      <c r="F11" s="350">
        <f>利润表!E11</f>
        <v>1411.54</v>
      </c>
      <c r="G11" s="350">
        <f>利润表!F11</f>
        <v>1765.53</v>
      </c>
      <c r="H11" s="350">
        <f>利润表!G11</f>
        <v>1829.66</v>
      </c>
      <c r="I11" s="350">
        <f>利润表!H11</f>
        <v>2045.0754598568856</v>
      </c>
      <c r="J11" s="350">
        <f>利润表!I11</f>
        <v>2424.7404011819285</v>
      </c>
      <c r="K11" s="350">
        <f>利润表!J11</f>
        <v>2951.7677189382762</v>
      </c>
      <c r="L11" s="350">
        <f>利润表!K11</f>
        <v>3648.0990385376235</v>
      </c>
      <c r="M11" s="350">
        <f>利润表!L11</f>
        <v>4583.1601409399709</v>
      </c>
      <c r="N11" s="188"/>
    </row>
    <row r="12" spans="2:14" ht="24.95" customHeight="1">
      <c r="B12" s="188"/>
      <c r="C12" s="102" t="s">
        <v>441</v>
      </c>
      <c r="D12" s="350">
        <f>利润表!C12</f>
        <v>1050.5999999999999</v>
      </c>
      <c r="E12" s="350">
        <f>利润表!D12</f>
        <v>1048.22</v>
      </c>
      <c r="F12" s="350">
        <f>利润表!E12</f>
        <v>1080.8</v>
      </c>
      <c r="G12" s="350">
        <f>利润表!F12</f>
        <v>1203.43</v>
      </c>
      <c r="H12" s="350">
        <f>利润表!G12</f>
        <v>1356.08</v>
      </c>
      <c r="I12" s="350">
        <f>利润表!H12</f>
        <v>1522.5969485272717</v>
      </c>
      <c r="J12" s="350">
        <f>利润表!I12</f>
        <v>1791.8112312703729</v>
      </c>
      <c r="K12" s="350">
        <f>利润表!J12</f>
        <v>2170.9602231483327</v>
      </c>
      <c r="L12" s="350">
        <f>利润表!K12</f>
        <v>2674.0424229728942</v>
      </c>
      <c r="M12" s="350">
        <f>利润表!L12</f>
        <v>3354.131499720329</v>
      </c>
      <c r="N12" s="188"/>
    </row>
    <row r="13" spans="2:14" ht="24.95" customHeight="1">
      <c r="B13" s="188"/>
      <c r="C13" s="102" t="s">
        <v>442</v>
      </c>
      <c r="D13" s="350">
        <f>利润表!C13</f>
        <v>13.42</v>
      </c>
      <c r="E13" s="350">
        <f>利润表!D13</f>
        <v>16.07</v>
      </c>
      <c r="F13" s="350">
        <f>利润表!E13</f>
        <v>21.36</v>
      </c>
      <c r="G13" s="350">
        <f>利润表!F13</f>
        <v>25.82</v>
      </c>
      <c r="H13" s="350">
        <f>利润表!G13</f>
        <v>24.18</v>
      </c>
      <c r="I13" s="350">
        <f>利润表!H13</f>
        <v>26.932932718784276</v>
      </c>
      <c r="J13" s="350">
        <f>利润表!I13</f>
        <v>31.944600966285307</v>
      </c>
      <c r="K13" s="350">
        <f>利润表!J13</f>
        <v>39.081457898045322</v>
      </c>
      <c r="L13" s="350">
        <f>利润表!K13</f>
        <v>48.55281574328901</v>
      </c>
      <c r="M13" s="350">
        <f>利润表!L13</f>
        <v>61.262148633696825</v>
      </c>
      <c r="N13" s="188"/>
    </row>
    <row r="14" spans="2:14" ht="24.95" customHeight="1">
      <c r="B14" s="188"/>
      <c r="C14" s="102" t="s">
        <v>443</v>
      </c>
      <c r="D14" s="350">
        <f>利润表!C14</f>
        <v>89.76</v>
      </c>
      <c r="E14" s="350">
        <f>利润表!D14</f>
        <v>87.09</v>
      </c>
      <c r="F14" s="350">
        <f>利润表!E14</f>
        <v>105.66</v>
      </c>
      <c r="G14" s="350">
        <f>利润表!F14</f>
        <v>144.21</v>
      </c>
      <c r="H14" s="350">
        <f>利润表!G14</f>
        <v>163.68</v>
      </c>
      <c r="I14" s="350">
        <f>利润表!H14</f>
        <v>191.59235252362575</v>
      </c>
      <c r="J14" s="350">
        <f>利润表!I14</f>
        <v>235.18062553216717</v>
      </c>
      <c r="K14" s="350">
        <f>利润表!J14</f>
        <v>290.95984996201656</v>
      </c>
      <c r="L14" s="350">
        <f>利润表!K14</f>
        <v>365.49481236350397</v>
      </c>
      <c r="M14" s="350">
        <f>利润表!L14</f>
        <v>461.16784736533032</v>
      </c>
      <c r="N14" s="188"/>
    </row>
    <row r="15" spans="2:14" ht="24.95" customHeight="1">
      <c r="B15" s="188"/>
      <c r="C15" s="102" t="s">
        <v>444</v>
      </c>
      <c r="D15" s="350">
        <f>利润表!C15</f>
        <v>157.49</v>
      </c>
      <c r="E15" s="350">
        <f>利润表!D15</f>
        <v>163.04</v>
      </c>
      <c r="F15" s="350">
        <f>利润表!E15</f>
        <v>187.15</v>
      </c>
      <c r="G15" s="350">
        <f>利润表!F15</f>
        <v>351.65</v>
      </c>
      <c r="H15" s="350">
        <f>利润表!G15</f>
        <v>154.94</v>
      </c>
      <c r="I15" s="350">
        <f>利润表!H15</f>
        <v>175.02756485007029</v>
      </c>
      <c r="J15" s="350">
        <f>利润表!I15</f>
        <v>207.59661696019342</v>
      </c>
      <c r="K15" s="350">
        <f>利润表!J15</f>
        <v>253.97651559552054</v>
      </c>
      <c r="L15" s="350">
        <f>利润表!K15</f>
        <v>315.52750659920059</v>
      </c>
      <c r="M15" s="350">
        <f>利润表!L15</f>
        <v>398.12094749565108</v>
      </c>
      <c r="N15" s="188"/>
    </row>
    <row r="16" spans="2:14" ht="24.95" customHeight="1">
      <c r="B16" s="188"/>
      <c r="C16" s="102" t="s">
        <v>445</v>
      </c>
      <c r="D16" s="350">
        <f>利润表!C16</f>
        <v>0</v>
      </c>
      <c r="E16" s="350">
        <f>利润表!D16</f>
        <v>0</v>
      </c>
      <c r="F16" s="350">
        <f>利润表!E16</f>
        <v>0</v>
      </c>
      <c r="G16" s="350">
        <f>利润表!F16</f>
        <v>0</v>
      </c>
      <c r="H16" s="350">
        <f>利润表!G16</f>
        <v>97.2</v>
      </c>
      <c r="I16" s="350">
        <f>利润表!H16</f>
        <v>114.26283826208559</v>
      </c>
      <c r="J16" s="350">
        <f>利润表!I16</f>
        <v>140.81605184245822</v>
      </c>
      <c r="K16" s="350">
        <f>利润表!J16</f>
        <v>175.51295120082648</v>
      </c>
      <c r="L16" s="350">
        <f>利润表!K16</f>
        <v>218.04836458367683</v>
      </c>
      <c r="M16" s="350">
        <f>利润表!L16</f>
        <v>275.12536844592972</v>
      </c>
      <c r="N16" s="188"/>
    </row>
    <row r="17" spans="2:16" ht="24.95" customHeight="1">
      <c r="B17" s="188"/>
      <c r="C17" s="102" t="s">
        <v>446</v>
      </c>
      <c r="D17" s="350">
        <f>利润表!C17</f>
        <v>4.0199999999999996</v>
      </c>
      <c r="E17" s="350">
        <f>利润表!D17</f>
        <v>3.83</v>
      </c>
      <c r="F17" s="350">
        <f>利润表!E17</f>
        <v>8.1</v>
      </c>
      <c r="G17" s="350">
        <f>利润表!F17</f>
        <v>11.16</v>
      </c>
      <c r="H17" s="350">
        <f>利润表!G17</f>
        <v>12.98</v>
      </c>
      <c r="I17" s="350">
        <f>利润表!H17</f>
        <v>14.662822975047842</v>
      </c>
      <c r="J17" s="350">
        <f>利润表!I17</f>
        <v>17.391274610451212</v>
      </c>
      <c r="K17" s="350">
        <f>利润表!J17</f>
        <v>21.276721133534636</v>
      </c>
      <c r="L17" s="350">
        <f>利润表!K17</f>
        <v>26.433116275058886</v>
      </c>
      <c r="M17" s="350">
        <f>利润表!L17</f>
        <v>33.352329279034144</v>
      </c>
      <c r="N17" s="188"/>
    </row>
    <row r="18" spans="2:16" ht="24.95" customHeight="1">
      <c r="B18" s="188"/>
      <c r="C18" s="102" t="s">
        <v>447</v>
      </c>
      <c r="D18" s="350">
        <f>利润表!C34</f>
        <v>3.93</v>
      </c>
      <c r="E18" s="350">
        <f>利润表!D34</f>
        <v>2.81</v>
      </c>
      <c r="F18" s="350">
        <f>利润表!E34</f>
        <v>8.4700000000000006</v>
      </c>
      <c r="G18" s="350">
        <f>利润表!F34</f>
        <v>29.27</v>
      </c>
      <c r="H18" s="350">
        <f>利润表!G34</f>
        <v>20.6</v>
      </c>
      <c r="I18" s="350">
        <f>利润表!H34</f>
        <v>0</v>
      </c>
      <c r="J18" s="350">
        <f>利润表!I34</f>
        <v>0</v>
      </c>
      <c r="K18" s="350">
        <f>利润表!J34</f>
        <v>0</v>
      </c>
      <c r="L18" s="350">
        <f>利润表!K34</f>
        <v>0</v>
      </c>
      <c r="M18" s="350">
        <f>利润表!L34</f>
        <v>0</v>
      </c>
      <c r="N18" s="188"/>
      <c r="P18" s="110"/>
    </row>
    <row r="19" spans="2:16" ht="24.95" customHeight="1">
      <c r="B19" s="188"/>
      <c r="C19" s="102" t="s">
        <v>448</v>
      </c>
      <c r="D19" s="350">
        <f>利润表!C29</f>
        <v>12.82</v>
      </c>
      <c r="E19" s="350">
        <f>利润表!D29</f>
        <v>13.01</v>
      </c>
      <c r="F19" s="350">
        <f>利润表!E29</f>
        <v>7.94</v>
      </c>
      <c r="G19" s="350">
        <f>利润表!F29</f>
        <v>10.96</v>
      </c>
      <c r="H19" s="350">
        <f>利润表!G29</f>
        <v>38.479999999999997</v>
      </c>
      <c r="I19" s="350">
        <f>利润表!H29</f>
        <v>25</v>
      </c>
      <c r="J19" s="350">
        <f>利润表!I29</f>
        <v>32.5</v>
      </c>
      <c r="K19" s="350">
        <f>利润表!J29</f>
        <v>39</v>
      </c>
      <c r="L19" s="350">
        <f>利润表!K29</f>
        <v>44.849999999999994</v>
      </c>
      <c r="M19" s="350">
        <f>利润表!L29</f>
        <v>49.335000000000001</v>
      </c>
      <c r="N19" s="188"/>
    </row>
    <row r="20" spans="2:16" ht="24.95" customHeight="1">
      <c r="B20" s="188"/>
      <c r="C20" s="102" t="s">
        <v>449</v>
      </c>
      <c r="D20" s="350">
        <f>利润表!C30</f>
        <v>5.91</v>
      </c>
      <c r="E20" s="350">
        <f>利润表!D30</f>
        <v>5.83</v>
      </c>
      <c r="F20" s="350">
        <f>利润表!E30</f>
        <v>4.09</v>
      </c>
      <c r="G20" s="350">
        <f>利润表!F30</f>
        <v>3.65</v>
      </c>
      <c r="H20" s="350">
        <f>利润表!G30</f>
        <v>-0.5</v>
      </c>
      <c r="I20" s="350">
        <f>利润表!H30</f>
        <v>0</v>
      </c>
      <c r="J20" s="350">
        <f>利润表!I30</f>
        <v>0</v>
      </c>
      <c r="K20" s="350">
        <f>利润表!J30</f>
        <v>0</v>
      </c>
      <c r="L20" s="350">
        <f>利润表!K30</f>
        <v>0</v>
      </c>
      <c r="M20" s="350">
        <f>利润表!L30</f>
        <v>0</v>
      </c>
      <c r="N20" s="188"/>
    </row>
    <row r="21" spans="2:16" ht="24.95" customHeight="1">
      <c r="B21" s="188"/>
      <c r="C21" s="102" t="s">
        <v>650</v>
      </c>
      <c r="D21" s="350">
        <f>利润表!C33</f>
        <v>0</v>
      </c>
      <c r="E21" s="350">
        <f>利润表!D33</f>
        <v>0</v>
      </c>
      <c r="F21" s="350">
        <f>利润表!E33</f>
        <v>0</v>
      </c>
      <c r="G21" s="350">
        <f>利润表!F33</f>
        <v>0</v>
      </c>
      <c r="H21" s="350">
        <f>利润表!G33</f>
        <v>0</v>
      </c>
      <c r="I21" s="350">
        <f>利润表!H33</f>
        <v>0</v>
      </c>
      <c r="J21" s="350">
        <f>利润表!I33</f>
        <v>0</v>
      </c>
      <c r="K21" s="350">
        <f>利润表!J33</f>
        <v>0</v>
      </c>
      <c r="L21" s="350">
        <f>利润表!K33</f>
        <v>0</v>
      </c>
      <c r="M21" s="350">
        <f>利润表!L33</f>
        <v>0</v>
      </c>
      <c r="N21" s="188"/>
    </row>
    <row r="22" spans="2:16" ht="24.95" customHeight="1">
      <c r="B22" s="188"/>
      <c r="C22" s="102" t="s">
        <v>651</v>
      </c>
      <c r="D22" s="350">
        <f>利润表!C38</f>
        <v>0</v>
      </c>
      <c r="E22" s="350">
        <f>利润表!D38</f>
        <v>0</v>
      </c>
      <c r="F22" s="350">
        <f>利润表!E38</f>
        <v>0</v>
      </c>
      <c r="G22" s="350">
        <f>利润表!F38</f>
        <v>0</v>
      </c>
      <c r="H22" s="350">
        <f>利润表!G38</f>
        <v>0</v>
      </c>
      <c r="I22" s="350">
        <f>利润表!H38</f>
        <v>0</v>
      </c>
      <c r="J22" s="350">
        <f>利润表!I38</f>
        <v>0</v>
      </c>
      <c r="K22" s="350">
        <f>利润表!J38</f>
        <v>0</v>
      </c>
      <c r="L22" s="350">
        <f>利润表!K38</f>
        <v>0</v>
      </c>
      <c r="M22" s="350">
        <f>利润表!L38</f>
        <v>0</v>
      </c>
      <c r="N22" s="188"/>
    </row>
    <row r="23" spans="2:16" ht="24.95" customHeight="1">
      <c r="B23" s="188"/>
      <c r="C23" s="102" t="s">
        <v>450</v>
      </c>
      <c r="D23" s="350">
        <f>利润表!C36</f>
        <v>0</v>
      </c>
      <c r="E23" s="350">
        <f>利润表!D36</f>
        <v>0</v>
      </c>
      <c r="F23" s="350">
        <f>利润表!E36</f>
        <v>0</v>
      </c>
      <c r="G23" s="350">
        <f>利润表!F36</f>
        <v>130.30000000000001</v>
      </c>
      <c r="H23" s="350">
        <f>利润表!G36</f>
        <v>-0.52</v>
      </c>
      <c r="I23" s="350">
        <f>利润表!H36</f>
        <v>4</v>
      </c>
      <c r="J23" s="350">
        <f>利润表!I36</f>
        <v>0</v>
      </c>
      <c r="K23" s="350">
        <f>利润表!J36</f>
        <v>0</v>
      </c>
      <c r="L23" s="350">
        <f>利润表!K36</f>
        <v>0</v>
      </c>
      <c r="M23" s="350">
        <f>利润表!L36</f>
        <v>0</v>
      </c>
      <c r="N23" s="188"/>
    </row>
    <row r="24" spans="2:16" ht="24.95" customHeight="1">
      <c r="B24" s="188"/>
      <c r="C24" s="102" t="s">
        <v>451</v>
      </c>
      <c r="D24" s="350">
        <f>利润表!C28</f>
        <v>0</v>
      </c>
      <c r="E24" s="350">
        <f>利润表!D28</f>
        <v>0</v>
      </c>
      <c r="F24" s="350">
        <f>利润表!E28</f>
        <v>0</v>
      </c>
      <c r="G24" s="350">
        <f>利润表!F28</f>
        <v>21.51</v>
      </c>
      <c r="H24" s="350">
        <f>利润表!G28</f>
        <v>18.77</v>
      </c>
      <c r="I24" s="350">
        <f>利润表!H28</f>
        <v>8</v>
      </c>
      <c r="J24" s="350">
        <f>利润表!I28</f>
        <v>8.48</v>
      </c>
      <c r="K24" s="350">
        <f>利润表!J28</f>
        <v>8.9888000000000012</v>
      </c>
      <c r="L24" s="350">
        <f>利润表!K28</f>
        <v>9.5281280000000024</v>
      </c>
      <c r="M24" s="350">
        <f>利润表!L28</f>
        <v>10.099815680000003</v>
      </c>
      <c r="N24" s="188"/>
    </row>
    <row r="25" spans="2:16" ht="24.95" customHeight="1">
      <c r="B25" s="188"/>
      <c r="C25" s="436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188"/>
    </row>
    <row r="26" spans="2:16" ht="24.95" customHeight="1">
      <c r="B26" s="188"/>
      <c r="C26" s="100" t="s">
        <v>452</v>
      </c>
      <c r="D26" s="350">
        <f>利润表!C40</f>
        <v>162.91999999999999</v>
      </c>
      <c r="E26" s="350">
        <f>利润表!D40</f>
        <v>161.9</v>
      </c>
      <c r="F26" s="350">
        <f>利润表!E40</f>
        <v>162.59</v>
      </c>
      <c r="G26" s="350">
        <f>利润表!F40</f>
        <v>187.43</v>
      </c>
      <c r="H26" s="350">
        <f>利润表!G40</f>
        <v>201.63</v>
      </c>
      <c r="I26" s="350">
        <f>利润表!H40</f>
        <v>222.48106815624715</v>
      </c>
      <c r="J26" s="350">
        <f>利润表!I40</f>
        <v>261.8571022705014</v>
      </c>
      <c r="K26" s="350">
        <f>利润表!J40</f>
        <v>332.90540166512523</v>
      </c>
      <c r="L26" s="350">
        <f>利润表!K40</f>
        <v>427.37108268889972</v>
      </c>
      <c r="M26" s="350">
        <f>利润表!L40</f>
        <v>549.93995218299222</v>
      </c>
      <c r="N26" s="188"/>
    </row>
    <row r="27" spans="2:16" ht="24.95" customHeight="1">
      <c r="B27" s="188"/>
      <c r="C27" s="103" t="s">
        <v>439</v>
      </c>
      <c r="D27" s="104"/>
      <c r="E27" s="104">
        <f>E26/D26-1</f>
        <v>-6.2607414682050999E-3</v>
      </c>
      <c r="F27" s="104">
        <f t="shared" ref="F27:M27" si="1">F26/E26-1</f>
        <v>4.2618900555897454E-3</v>
      </c>
      <c r="G27" s="104">
        <f t="shared" si="1"/>
        <v>0.15277692355003381</v>
      </c>
      <c r="H27" s="104">
        <f t="shared" si="1"/>
        <v>7.5761617670596859E-2</v>
      </c>
      <c r="I27" s="104">
        <f t="shared" si="1"/>
        <v>0.10341252867255446</v>
      </c>
      <c r="J27" s="104">
        <f t="shared" si="1"/>
        <v>0.17698599903610979</v>
      </c>
      <c r="K27" s="104">
        <f t="shared" si="1"/>
        <v>0.27132469877112642</v>
      </c>
      <c r="L27" s="104">
        <f t="shared" si="1"/>
        <v>0.28376133445500229</v>
      </c>
      <c r="M27" s="104">
        <f t="shared" si="1"/>
        <v>0.28679729270151677</v>
      </c>
      <c r="N27" s="188"/>
    </row>
    <row r="28" spans="2:16" ht="24.95" customHeight="1">
      <c r="B28" s="188"/>
      <c r="C28" s="102" t="s">
        <v>453</v>
      </c>
      <c r="D28" s="350">
        <f>利润表!C41</f>
        <v>5.42</v>
      </c>
      <c r="E28" s="350">
        <f>利润表!D41</f>
        <v>5.63</v>
      </c>
      <c r="F28" s="350">
        <f>利润表!E41</f>
        <v>14.45</v>
      </c>
      <c r="G28" s="350">
        <f>利润表!F41</f>
        <v>3.7</v>
      </c>
      <c r="H28" s="350">
        <f>利润表!G41</f>
        <v>3.63</v>
      </c>
      <c r="I28" s="350">
        <f>利润表!H41</f>
        <v>0.3</v>
      </c>
      <c r="J28" s="350">
        <f>利润表!I41</f>
        <v>0.33</v>
      </c>
      <c r="K28" s="350">
        <f>利润表!J41</f>
        <v>0.36300000000000004</v>
      </c>
      <c r="L28" s="350">
        <f>利润表!K41</f>
        <v>0.3993000000000001</v>
      </c>
      <c r="M28" s="350">
        <f>利润表!L41</f>
        <v>0.43923000000000012</v>
      </c>
      <c r="N28" s="188"/>
    </row>
    <row r="29" spans="2:16" ht="24.95" customHeight="1">
      <c r="B29" s="188"/>
      <c r="C29" s="102" t="s">
        <v>454</v>
      </c>
      <c r="D29" s="350">
        <f>利润表!C42</f>
        <v>3.89</v>
      </c>
      <c r="E29" s="350">
        <f>利润表!D42</f>
        <v>2.41</v>
      </c>
      <c r="F29" s="350">
        <f>利润表!E42</f>
        <v>5.4</v>
      </c>
      <c r="G29" s="350">
        <f>利润表!F42</f>
        <v>4.17</v>
      </c>
      <c r="H29" s="350">
        <f>利润表!G42</f>
        <v>4.83</v>
      </c>
      <c r="I29" s="350">
        <f>利润表!H42</f>
        <v>4.5</v>
      </c>
      <c r="J29" s="350">
        <f>利润表!I42</f>
        <v>4.8150000000000004</v>
      </c>
      <c r="K29" s="350">
        <f>利润表!J42</f>
        <v>5.1520500000000009</v>
      </c>
      <c r="L29" s="350">
        <f>利润表!K42</f>
        <v>5.512693500000001</v>
      </c>
      <c r="M29" s="350">
        <f>利润表!L42</f>
        <v>5.8985820450000013</v>
      </c>
      <c r="N29" s="188"/>
    </row>
    <row r="30" spans="2:16" ht="24.95" customHeight="1">
      <c r="B30" s="188"/>
      <c r="C30" s="436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188"/>
    </row>
    <row r="31" spans="2:16" ht="24.95" customHeight="1">
      <c r="B31" s="188"/>
      <c r="C31" s="100" t="s">
        <v>455</v>
      </c>
      <c r="D31" s="108">
        <f>利润表!C46</f>
        <v>164.45</v>
      </c>
      <c r="E31" s="108">
        <f>利润表!D46</f>
        <v>165.11</v>
      </c>
      <c r="F31" s="108">
        <f>利润表!E46</f>
        <v>171.65</v>
      </c>
      <c r="G31" s="108">
        <f>利润表!F46</f>
        <v>186.96</v>
      </c>
      <c r="H31" s="108">
        <f>利润表!G46</f>
        <v>200.43</v>
      </c>
      <c r="I31" s="108">
        <f>利润表!H46</f>
        <v>218.28106815624716</v>
      </c>
      <c r="J31" s="108">
        <f>利润表!I46</f>
        <v>257.37210227050139</v>
      </c>
      <c r="K31" s="108">
        <f>利润表!J46</f>
        <v>328.11635166512525</v>
      </c>
      <c r="L31" s="108">
        <f>利润表!K46</f>
        <v>422.25768918889969</v>
      </c>
      <c r="M31" s="108">
        <f>利润表!L46</f>
        <v>544.48060013799216</v>
      </c>
      <c r="N31" s="188"/>
    </row>
    <row r="32" spans="2:16" ht="24.95" customHeight="1">
      <c r="B32" s="188"/>
      <c r="C32" s="105" t="s">
        <v>439</v>
      </c>
      <c r="D32" s="106"/>
      <c r="E32" s="106">
        <f t="shared" ref="E32" si="2">E31/D31-1</f>
        <v>4.0133779264215352E-3</v>
      </c>
      <c r="F32" s="106">
        <f t="shared" ref="F32" si="3">F31/E31-1</f>
        <v>3.9609956998364781E-2</v>
      </c>
      <c r="G32" s="106">
        <f t="shared" ref="G32" si="4">G31/F31-1</f>
        <v>8.9193125546169538E-2</v>
      </c>
      <c r="H32" s="106">
        <f t="shared" ref="H32" si="5">H31/G31-1</f>
        <v>7.2047496790757393E-2</v>
      </c>
      <c r="I32" s="106">
        <f t="shared" ref="I32" si="6">I31/H31-1</f>
        <v>8.9063853496218925E-2</v>
      </c>
      <c r="J32" s="106">
        <f t="shared" ref="J32" si="7">J31/I31-1</f>
        <v>0.17908577433876482</v>
      </c>
      <c r="K32" s="106">
        <f t="shared" ref="K32" si="8">K31/J31-1</f>
        <v>0.27487147507646625</v>
      </c>
      <c r="L32" s="106">
        <f t="shared" ref="L32" si="9">L31/K31-1</f>
        <v>0.2869144955623999</v>
      </c>
      <c r="M32" s="106">
        <f t="shared" ref="M32" si="10">M31/L31-1</f>
        <v>0.2894510013159648</v>
      </c>
      <c r="N32" s="188"/>
    </row>
    <row r="33" spans="2:14" ht="24.95" customHeight="1">
      <c r="B33" s="188"/>
      <c r="C33" s="68" t="s">
        <v>456</v>
      </c>
      <c r="D33" s="108">
        <f>利润表!C47</f>
        <v>22.94</v>
      </c>
      <c r="E33" s="108">
        <f>利润表!D47</f>
        <v>18.38</v>
      </c>
      <c r="F33" s="108">
        <f>利润表!E47</f>
        <v>20.48</v>
      </c>
      <c r="G33" s="108">
        <f>利润表!F47</f>
        <v>26.89</v>
      </c>
      <c r="H33" s="108">
        <f>利润表!G47</f>
        <v>26.37</v>
      </c>
      <c r="I33" s="108">
        <f>利润表!H47</f>
        <v>30.559349541874607</v>
      </c>
      <c r="J33" s="108">
        <f>利润表!I47</f>
        <v>36.032094317870197</v>
      </c>
      <c r="K33" s="108">
        <f>利润表!J47</f>
        <v>45.936289233117542</v>
      </c>
      <c r="L33" s="108">
        <f>利润表!K47</f>
        <v>59.116076486445962</v>
      </c>
      <c r="M33" s="108">
        <f>利润表!L47</f>
        <v>76.227284019318915</v>
      </c>
      <c r="N33" s="188"/>
    </row>
    <row r="34" spans="2:14" ht="24.95" customHeight="1">
      <c r="B34" s="188"/>
      <c r="C34" s="436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188"/>
    </row>
    <row r="35" spans="2:14" ht="24.95" customHeight="1">
      <c r="B35" s="188"/>
      <c r="C35" s="100" t="s">
        <v>457</v>
      </c>
      <c r="D35" s="108">
        <f>利润表!C51</f>
        <v>141.52000000000001</v>
      </c>
      <c r="E35" s="108">
        <f>利润表!D51</f>
        <v>146.72999999999999</v>
      </c>
      <c r="F35" s="108">
        <f>利润表!E51</f>
        <v>151.16999999999999</v>
      </c>
      <c r="G35" s="108">
        <f>利润表!F51</f>
        <v>160.07</v>
      </c>
      <c r="H35" s="108">
        <f>利润表!G51</f>
        <v>174.06</v>
      </c>
      <c r="I35" s="108">
        <f>利润表!H51</f>
        <v>187.72171861437255</v>
      </c>
      <c r="J35" s="108">
        <f>利润表!I51</f>
        <v>221.3400079526312</v>
      </c>
      <c r="K35" s="108">
        <f>利润表!J51</f>
        <v>282.18006243200773</v>
      </c>
      <c r="L35" s="108">
        <f>利润表!K51</f>
        <v>363.1416127024537</v>
      </c>
      <c r="M35" s="108">
        <f>利润表!L51</f>
        <v>468.25331611867324</v>
      </c>
      <c r="N35" s="188"/>
    </row>
    <row r="36" spans="2:14" ht="24.95" customHeight="1">
      <c r="B36" s="188"/>
      <c r="C36" s="103" t="s">
        <v>439</v>
      </c>
      <c r="D36" s="106"/>
      <c r="E36" s="106">
        <f t="shared" ref="E36" si="11">E35/D35-1</f>
        <v>3.6814584511023041E-2</v>
      </c>
      <c r="F36" s="106">
        <f t="shared" ref="F36" si="12">F35/E35-1</f>
        <v>3.0259660601104077E-2</v>
      </c>
      <c r="G36" s="106">
        <f t="shared" ref="G36" si="13">G35/F35-1</f>
        <v>5.8874115234504254E-2</v>
      </c>
      <c r="H36" s="106">
        <f t="shared" ref="H36" si="14">H35/G35-1</f>
        <v>8.7399262822515311E-2</v>
      </c>
      <c r="I36" s="106">
        <f t="shared" ref="I36" si="15">I35/H35-1</f>
        <v>7.8488559200118102E-2</v>
      </c>
      <c r="J36" s="106">
        <f t="shared" ref="J36" si="16">J35/I35-1</f>
        <v>0.17908577433876482</v>
      </c>
      <c r="K36" s="106">
        <f t="shared" ref="K36" si="17">K35/J35-1</f>
        <v>0.27487147507646648</v>
      </c>
      <c r="L36" s="106">
        <f t="shared" ref="L36" si="18">L35/K35-1</f>
        <v>0.28691449556239967</v>
      </c>
      <c r="M36" s="106">
        <f t="shared" ref="M36" si="19">M35/L35-1</f>
        <v>0.2894510013159648</v>
      </c>
      <c r="N36" s="188"/>
    </row>
    <row r="37" spans="2:14" ht="24.95" customHeight="1">
      <c r="B37" s="188"/>
      <c r="C37" s="68" t="s">
        <v>458</v>
      </c>
      <c r="D37" s="108">
        <f>利润表!C52</f>
        <v>0</v>
      </c>
      <c r="E37" s="108">
        <f>利润表!D52</f>
        <v>0</v>
      </c>
      <c r="F37" s="108">
        <f>利润表!E52</f>
        <v>0</v>
      </c>
      <c r="G37" s="108">
        <f>利润表!F52</f>
        <v>160.07</v>
      </c>
      <c r="H37" s="108">
        <f>利润表!G52</f>
        <v>174.06</v>
      </c>
      <c r="I37" s="108">
        <f>利润表!H52</f>
        <v>187.72171861437255</v>
      </c>
      <c r="J37" s="108">
        <f>利润表!I52</f>
        <v>221.3400079526312</v>
      </c>
      <c r="K37" s="108">
        <f>利润表!J52</f>
        <v>282.18006243200773</v>
      </c>
      <c r="L37" s="108">
        <f>利润表!K52</f>
        <v>363.1416127024537</v>
      </c>
      <c r="M37" s="108">
        <f>利润表!L52</f>
        <v>468.25331611867324</v>
      </c>
      <c r="N37" s="188"/>
    </row>
    <row r="38" spans="2:14" ht="24.95" customHeight="1">
      <c r="B38" s="188"/>
      <c r="C38" s="68" t="s">
        <v>459</v>
      </c>
      <c r="D38" s="108">
        <f>利润表!C53</f>
        <v>0</v>
      </c>
      <c r="E38" s="108">
        <f>利润表!D53</f>
        <v>0</v>
      </c>
      <c r="F38" s="108">
        <f>利润表!E53</f>
        <v>0</v>
      </c>
      <c r="G38" s="108">
        <f>利润表!F53</f>
        <v>0</v>
      </c>
      <c r="H38" s="108">
        <f>利润表!G53</f>
        <v>0</v>
      </c>
      <c r="I38" s="108">
        <f>利润表!H53</f>
        <v>0</v>
      </c>
      <c r="J38" s="108">
        <f>利润表!I53</f>
        <v>0</v>
      </c>
      <c r="K38" s="108">
        <f>利润表!J53</f>
        <v>0</v>
      </c>
      <c r="L38" s="108">
        <f>利润表!K53</f>
        <v>0</v>
      </c>
      <c r="M38" s="108">
        <f>利润表!L53</f>
        <v>0</v>
      </c>
      <c r="N38" s="188"/>
    </row>
    <row r="39" spans="2:14" ht="24.95" customHeight="1">
      <c r="B39" s="188"/>
      <c r="C39" s="68" t="s">
        <v>460</v>
      </c>
      <c r="D39" s="108">
        <f>利润表!C54</f>
        <v>0.39</v>
      </c>
      <c r="E39" s="108">
        <f>利润表!D54</f>
        <v>0.74</v>
      </c>
      <c r="F39" s="108">
        <f>利润表!E54</f>
        <v>-0.32</v>
      </c>
      <c r="G39" s="108">
        <f>利润表!F54</f>
        <v>-4.63</v>
      </c>
      <c r="H39" s="108">
        <f>利润表!G54</f>
        <v>-2.19</v>
      </c>
      <c r="I39" s="108">
        <f>利润表!H54</f>
        <v>-1.6</v>
      </c>
      <c r="J39" s="108">
        <f>利润表!I54</f>
        <v>-1.7120000000000002</v>
      </c>
      <c r="K39" s="108">
        <f>利润表!J54</f>
        <v>-1.8318400000000004</v>
      </c>
      <c r="L39" s="108">
        <f>利润表!K54</f>
        <v>-1.9600688000000004</v>
      </c>
      <c r="M39" s="108">
        <f>利润表!L54</f>
        <v>-2.0972736160000007</v>
      </c>
      <c r="N39" s="188"/>
    </row>
    <row r="40" spans="2:14" ht="24.95" customHeight="1">
      <c r="B40" s="188"/>
      <c r="C40" s="100" t="s">
        <v>461</v>
      </c>
      <c r="D40" s="350">
        <f>利润表!C55</f>
        <v>141.13</v>
      </c>
      <c r="E40" s="350">
        <f>利润表!D55</f>
        <v>145.97999999999999</v>
      </c>
      <c r="F40" s="350">
        <f>利润表!E55</f>
        <v>151.49</v>
      </c>
      <c r="G40" s="350">
        <f>利润表!F55</f>
        <v>164.7</v>
      </c>
      <c r="H40" s="350">
        <f>利润表!G55</f>
        <v>176.25</v>
      </c>
      <c r="I40" s="350">
        <f>利润表!H55</f>
        <v>189.32171861437254</v>
      </c>
      <c r="J40" s="350">
        <f>利润表!I55</f>
        <v>223.05200795263119</v>
      </c>
      <c r="K40" s="350">
        <f>利润表!J55</f>
        <v>284.01190243200773</v>
      </c>
      <c r="L40" s="350">
        <f>利润表!K55</f>
        <v>365.10168150245369</v>
      </c>
      <c r="M40" s="350">
        <f>利润表!L55</f>
        <v>470.35058973467324</v>
      </c>
      <c r="N40" s="188"/>
    </row>
    <row r="41" spans="2:14" ht="24.6" customHeight="1">
      <c r="B41" s="188"/>
      <c r="C41" s="68" t="s">
        <v>462</v>
      </c>
      <c r="D41" s="354">
        <v>66.92</v>
      </c>
      <c r="E41" s="354">
        <v>66.92</v>
      </c>
      <c r="F41" s="354">
        <v>66.92</v>
      </c>
      <c r="G41" s="108">
        <v>83.59</v>
      </c>
      <c r="H41" s="108">
        <v>88.29</v>
      </c>
      <c r="I41" s="350">
        <f>资产负债假设!J37</f>
        <v>94.660859307186271</v>
      </c>
      <c r="J41" s="350">
        <f>资产负债假设!K37</f>
        <v>111.52600397631559</v>
      </c>
      <c r="K41" s="350">
        <f>资产负债假设!L37</f>
        <v>142.00595121600387</v>
      </c>
      <c r="L41" s="350">
        <f>资产负债假设!M37</f>
        <v>182.55084075122684</v>
      </c>
      <c r="M41" s="350">
        <f>资产负债假设!N37</f>
        <v>235.17529486733662</v>
      </c>
      <c r="N41" s="188"/>
    </row>
    <row r="42" spans="2:14" ht="24.95" customHeight="1">
      <c r="B42" s="188"/>
      <c r="C42" s="68" t="s">
        <v>390</v>
      </c>
      <c r="D42" s="106">
        <f>D41/D40</f>
        <v>0.47417274852972441</v>
      </c>
      <c r="E42" s="106">
        <f t="shared" ref="E42:G42" si="20">E41/E40</f>
        <v>0.45841896150157563</v>
      </c>
      <c r="F42" s="106">
        <f t="shared" si="20"/>
        <v>0.44174532972473429</v>
      </c>
      <c r="G42" s="106">
        <f t="shared" si="20"/>
        <v>0.50752884031572565</v>
      </c>
      <c r="H42" s="106">
        <f t="shared" ref="H42" si="21">H41/H40</f>
        <v>0.50093617021276604</v>
      </c>
      <c r="I42" s="104">
        <f>资产负债假设!J38</f>
        <v>0.5</v>
      </c>
      <c r="J42" s="104">
        <f>资产负债假设!K38</f>
        <v>0.5</v>
      </c>
      <c r="K42" s="104">
        <f>资产负债假设!L38</f>
        <v>0.5</v>
      </c>
      <c r="L42" s="104">
        <f>资产负债假设!M38</f>
        <v>0.5</v>
      </c>
      <c r="M42" s="104">
        <f>资产负债假设!N38</f>
        <v>0.5</v>
      </c>
      <c r="N42" s="188"/>
    </row>
    <row r="43" spans="2:14" ht="24.95" customHeight="1">
      <c r="B43" s="188"/>
      <c r="C43" s="68" t="s">
        <v>463</v>
      </c>
      <c r="D43" s="108">
        <f t="shared" ref="D43:G43" si="22">D40-D41</f>
        <v>74.209999999999994</v>
      </c>
      <c r="E43" s="108">
        <f t="shared" si="22"/>
        <v>79.059999999999988</v>
      </c>
      <c r="F43" s="108">
        <f t="shared" si="22"/>
        <v>84.570000000000007</v>
      </c>
      <c r="G43" s="108">
        <f t="shared" si="22"/>
        <v>81.109999999999985</v>
      </c>
      <c r="H43" s="108">
        <f t="shared" ref="H43:M43" si="23">H40-H41</f>
        <v>87.96</v>
      </c>
      <c r="I43" s="350">
        <f t="shared" si="23"/>
        <v>94.660859307186271</v>
      </c>
      <c r="J43" s="350">
        <f t="shared" si="23"/>
        <v>111.52600397631559</v>
      </c>
      <c r="K43" s="350">
        <f t="shared" si="23"/>
        <v>142.00595121600387</v>
      </c>
      <c r="L43" s="350">
        <f t="shared" si="23"/>
        <v>182.55084075122684</v>
      </c>
      <c r="M43" s="350">
        <f t="shared" si="23"/>
        <v>235.17529486733662</v>
      </c>
      <c r="N43" s="188"/>
    </row>
    <row r="44" spans="2:14" ht="24.95" customHeight="1">
      <c r="B44" s="188"/>
      <c r="C44" s="436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188"/>
    </row>
    <row r="45" spans="2:14" ht="24.95" customHeight="1">
      <c r="B45" s="188"/>
      <c r="C45" s="100" t="s">
        <v>464</v>
      </c>
      <c r="D45" s="108">
        <f>利润表!C56</f>
        <v>-1.27</v>
      </c>
      <c r="E45" s="108">
        <f>利润表!D56</f>
        <v>0</v>
      </c>
      <c r="F45" s="108">
        <f>利润表!E56</f>
        <v>2.04</v>
      </c>
      <c r="G45" s="108">
        <f>利润表!F56</f>
        <v>24.38</v>
      </c>
      <c r="H45" s="108">
        <f>利润表!G56</f>
        <v>6.28</v>
      </c>
      <c r="I45" s="108">
        <f>利润表!H56</f>
        <v>6.28</v>
      </c>
      <c r="J45" s="108">
        <f>利润表!I56</f>
        <v>6.28</v>
      </c>
      <c r="K45" s="108">
        <f>利润表!J56</f>
        <v>6.28</v>
      </c>
      <c r="L45" s="108">
        <f>利润表!K56</f>
        <v>6.28</v>
      </c>
      <c r="M45" s="108">
        <f>利润表!L56</f>
        <v>6.28</v>
      </c>
      <c r="N45" s="188"/>
    </row>
    <row r="46" spans="2:14" ht="24.95" customHeight="1">
      <c r="B46" s="188"/>
      <c r="C46" s="68" t="s">
        <v>465</v>
      </c>
      <c r="D46" s="350">
        <f t="shared" ref="D46:M46" si="24">D50-D40</f>
        <v>-1.2699999999999818</v>
      </c>
      <c r="E46" s="350">
        <f t="shared" si="24"/>
        <v>0</v>
      </c>
      <c r="F46" s="350">
        <f t="shared" si="24"/>
        <v>1.9699999999999989</v>
      </c>
      <c r="G46" s="350">
        <f t="shared" si="24"/>
        <v>24.52000000000001</v>
      </c>
      <c r="H46" s="350">
        <f t="shared" si="24"/>
        <v>6.2599999999999909</v>
      </c>
      <c r="I46" s="350">
        <f t="shared" si="24"/>
        <v>6.2800000000000011</v>
      </c>
      <c r="J46" s="350">
        <f t="shared" si="24"/>
        <v>6.2800000000000011</v>
      </c>
      <c r="K46" s="350">
        <f t="shared" si="24"/>
        <v>6.2799999999999727</v>
      </c>
      <c r="L46" s="350">
        <f t="shared" si="24"/>
        <v>6.2799999999999727</v>
      </c>
      <c r="M46" s="350">
        <f t="shared" si="24"/>
        <v>6.2799999999999727</v>
      </c>
      <c r="N46" s="188"/>
    </row>
    <row r="47" spans="2:14" ht="24.95" customHeight="1">
      <c r="B47" s="188"/>
      <c r="C47" s="107" t="s">
        <v>466</v>
      </c>
      <c r="D47" s="350">
        <f>D51-D39</f>
        <v>0</v>
      </c>
      <c r="E47" s="350">
        <f t="shared" ref="E47:M47" si="25">E51-E39</f>
        <v>0</v>
      </c>
      <c r="F47" s="350">
        <f t="shared" si="25"/>
        <v>7.0000000000000007E-2</v>
      </c>
      <c r="G47" s="350">
        <f t="shared" si="25"/>
        <v>-0.15000000000000036</v>
      </c>
      <c r="H47" s="350">
        <f t="shared" si="25"/>
        <v>2.0000000000000018E-2</v>
      </c>
      <c r="I47" s="350">
        <f t="shared" si="25"/>
        <v>0</v>
      </c>
      <c r="J47" s="350">
        <f t="shared" si="25"/>
        <v>0</v>
      </c>
      <c r="K47" s="350">
        <f t="shared" si="25"/>
        <v>0</v>
      </c>
      <c r="L47" s="350">
        <f t="shared" si="25"/>
        <v>0</v>
      </c>
      <c r="M47" s="350">
        <f t="shared" si="25"/>
        <v>0</v>
      </c>
      <c r="N47" s="188"/>
    </row>
    <row r="48" spans="2:14" ht="24.95" customHeight="1">
      <c r="B48" s="188"/>
      <c r="C48" s="436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188"/>
    </row>
    <row r="49" spans="2:14" ht="24.95" customHeight="1">
      <c r="B49" s="188"/>
      <c r="C49" s="100" t="s">
        <v>467</v>
      </c>
      <c r="D49" s="108">
        <f>利润表!C57</f>
        <v>140.24</v>
      </c>
      <c r="E49" s="108">
        <f>利润表!D57</f>
        <v>146.72999999999999</v>
      </c>
      <c r="F49" s="108">
        <f>利润表!E57</f>
        <v>153.21</v>
      </c>
      <c r="G49" s="108">
        <f>利润表!F57</f>
        <v>184.45</v>
      </c>
      <c r="H49" s="108">
        <f>利润表!G57</f>
        <v>180.34</v>
      </c>
      <c r="I49" s="108">
        <f>利润表!H57</f>
        <v>194.00171861437255</v>
      </c>
      <c r="J49" s="108">
        <f>利润表!I57</f>
        <v>227.6200079526312</v>
      </c>
      <c r="K49" s="108">
        <f>利润表!J57</f>
        <v>288.4600624320077</v>
      </c>
      <c r="L49" s="108">
        <f>利润表!K57</f>
        <v>369.42161270245367</v>
      </c>
      <c r="M49" s="108">
        <f>利润表!L57</f>
        <v>474.53331611867321</v>
      </c>
      <c r="N49" s="188"/>
    </row>
    <row r="50" spans="2:14" ht="24.95" customHeight="1">
      <c r="B50" s="188"/>
      <c r="C50" s="68" t="s">
        <v>468</v>
      </c>
      <c r="D50" s="350">
        <f>利润表!C59</f>
        <v>139.86000000000001</v>
      </c>
      <c r="E50" s="350">
        <f>利润表!D59</f>
        <v>145.97999999999999</v>
      </c>
      <c r="F50" s="350">
        <f>利润表!E59</f>
        <v>153.46</v>
      </c>
      <c r="G50" s="350">
        <f>利润表!F59</f>
        <v>189.22</v>
      </c>
      <c r="H50" s="350">
        <f>利润表!G59</f>
        <v>182.51</v>
      </c>
      <c r="I50" s="350">
        <f>利润表!H59</f>
        <v>195.60171861437254</v>
      </c>
      <c r="J50" s="350">
        <f>利润表!I59</f>
        <v>229.33200795263119</v>
      </c>
      <c r="K50" s="350">
        <f>利润表!J59</f>
        <v>290.2919024320077</v>
      </c>
      <c r="L50" s="350">
        <f>利润表!K59</f>
        <v>371.38168150245366</v>
      </c>
      <c r="M50" s="350">
        <f>利润表!L59</f>
        <v>476.63058973467321</v>
      </c>
      <c r="N50" s="188"/>
    </row>
    <row r="51" spans="2:14" ht="24.95" customHeight="1">
      <c r="B51" s="188"/>
      <c r="C51" s="107" t="s">
        <v>469</v>
      </c>
      <c r="D51" s="350">
        <f>利润表!C58</f>
        <v>0.39</v>
      </c>
      <c r="E51" s="350">
        <f>利润表!D58</f>
        <v>0.74</v>
      </c>
      <c r="F51" s="350">
        <f>利润表!E58</f>
        <v>-0.25</v>
      </c>
      <c r="G51" s="350">
        <f>利润表!F58</f>
        <v>-4.78</v>
      </c>
      <c r="H51" s="350">
        <f>利润表!G58</f>
        <v>-2.17</v>
      </c>
      <c r="I51" s="350">
        <f>利润表!H58</f>
        <v>-1.6</v>
      </c>
      <c r="J51" s="350">
        <f>利润表!I58</f>
        <v>-1.7120000000000002</v>
      </c>
      <c r="K51" s="350">
        <f>利润表!J58</f>
        <v>-1.8318400000000004</v>
      </c>
      <c r="L51" s="350">
        <f>利润表!K58</f>
        <v>-1.9600688000000004</v>
      </c>
      <c r="M51" s="350">
        <f>利润表!L58</f>
        <v>-2.0972736160000007</v>
      </c>
      <c r="N51" s="188"/>
    </row>
    <row r="52" spans="2:14" ht="24.95" customHeight="1">
      <c r="B52" s="188"/>
      <c r="C52" s="436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188"/>
    </row>
    <row r="53" spans="2:14" ht="24.95" customHeight="1">
      <c r="B53" s="188"/>
      <c r="C53" s="100" t="s">
        <v>470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88"/>
    </row>
    <row r="54" spans="2:14" ht="24.95" customHeight="1">
      <c r="B54" s="188"/>
      <c r="C54" s="107" t="s">
        <v>471</v>
      </c>
      <c r="D54" s="108">
        <f>利润表!C61</f>
        <v>0.15</v>
      </c>
      <c r="E54" s="108">
        <f>利润表!D61</f>
        <v>0.15</v>
      </c>
      <c r="F54" s="108">
        <f>利润表!E61</f>
        <v>0.16</v>
      </c>
      <c r="G54" s="108">
        <f>利润表!F61</f>
        <v>0.17</v>
      </c>
      <c r="H54" s="108">
        <f>利润表!G61</f>
        <v>0.13</v>
      </c>
      <c r="I54" s="108">
        <f>利润表!H61</f>
        <v>0.14400267876080197</v>
      </c>
      <c r="J54" s="108">
        <f>利润表!I61</f>
        <v>0.16883503736426703</v>
      </c>
      <c r="K54" s="108">
        <f>利润表!J61</f>
        <v>0.21371392781672044</v>
      </c>
      <c r="L54" s="108">
        <f>利润表!K61</f>
        <v>0.27341251067675781</v>
      </c>
      <c r="M54" s="108">
        <f>利润表!L61</f>
        <v>0.35089713008324491</v>
      </c>
      <c r="N54" s="188"/>
    </row>
    <row r="55" spans="2:14" ht="24.95" customHeight="1">
      <c r="B55" s="188"/>
      <c r="C55" s="107" t="s">
        <v>709</v>
      </c>
      <c r="D55" s="108">
        <f>利润表!C62</f>
        <v>0.15</v>
      </c>
      <c r="E55" s="108">
        <f>利润表!D62</f>
        <v>0.15</v>
      </c>
      <c r="F55" s="108">
        <f>利润表!E62</f>
        <v>0.16</v>
      </c>
      <c r="G55" s="108">
        <f>利润表!F62</f>
        <v>0.17</v>
      </c>
      <c r="H55" s="108">
        <f>利润表!G62</f>
        <v>0.13</v>
      </c>
      <c r="I55" s="108">
        <f>利润表!H62</f>
        <v>0.14400267876080197</v>
      </c>
      <c r="J55" s="108">
        <f>利润表!I62</f>
        <v>0.16883503736426703</v>
      </c>
      <c r="K55" s="108">
        <f>利润表!J62</f>
        <v>0.21371392781672044</v>
      </c>
      <c r="L55" s="108">
        <f>利润表!K62</f>
        <v>0.27341251067675781</v>
      </c>
      <c r="M55" s="108">
        <f>利润表!L62</f>
        <v>0.35089713008324491</v>
      </c>
      <c r="N55" s="188"/>
    </row>
    <row r="56" spans="2:14" ht="24.95" hidden="1" customHeight="1">
      <c r="B56" s="188"/>
      <c r="C56" s="107" t="s">
        <v>472</v>
      </c>
      <c r="D56" s="101"/>
      <c r="E56" s="101"/>
      <c r="F56" s="101"/>
      <c r="G56" s="101"/>
      <c r="H56" s="101"/>
      <c r="I56" s="108">
        <f>I41/资产负债假设!J34</f>
        <v>6.968966024735429E-2</v>
      </c>
      <c r="J56" s="101" t="e">
        <f>#NULL!</f>
        <v>#NULL!</v>
      </c>
      <c r="K56" s="101" t="e">
        <f>#NULL!</f>
        <v>#NULL!</v>
      </c>
      <c r="L56" s="101" t="e">
        <f>#NULL!</f>
        <v>#NULL!</v>
      </c>
      <c r="M56" s="101" t="e">
        <f>#NULL!</f>
        <v>#NULL!</v>
      </c>
      <c r="N56" s="188"/>
    </row>
    <row r="57" spans="2:14" ht="24.95" customHeight="1">
      <c r="B57" s="188"/>
      <c r="C57" s="434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188"/>
    </row>
    <row r="58" spans="2:14" s="97" customFormat="1" ht="24.95" customHeight="1">
      <c r="B58" s="236"/>
      <c r="C58" s="68" t="s">
        <v>473</v>
      </c>
      <c r="D58" s="106">
        <f>D35/D7</f>
        <v>9.6316663490594298E-2</v>
      </c>
      <c r="E58" s="106">
        <f t="shared" ref="E58:M58" si="26">E35/E7</f>
        <v>9.9819042695039314E-2</v>
      </c>
      <c r="F58" s="106">
        <f t="shared" si="26"/>
        <v>9.6520856345654091E-2</v>
      </c>
      <c r="G58" s="106">
        <f t="shared" si="26"/>
        <v>8.9414590548542061E-2</v>
      </c>
      <c r="H58" s="106">
        <f t="shared" si="26"/>
        <v>8.8151284336763641E-2</v>
      </c>
      <c r="I58" s="106">
        <f t="shared" si="26"/>
        <v>8.4159139773779049E-2</v>
      </c>
      <c r="J58" s="106">
        <f t="shared" si="26"/>
        <v>8.3662890672514423E-2</v>
      </c>
      <c r="K58" s="106">
        <f t="shared" si="26"/>
        <v>8.7181830070904812E-2</v>
      </c>
      <c r="L58" s="106">
        <f t="shared" si="26"/>
        <v>9.0309202901639893E-2</v>
      </c>
      <c r="M58" s="106">
        <f t="shared" si="26"/>
        <v>9.2290935746290409E-2</v>
      </c>
      <c r="N58" s="236"/>
    </row>
    <row r="59" spans="2:14" s="97" customFormat="1" ht="24.95" customHeight="1">
      <c r="B59" s="236"/>
      <c r="C59" s="22" t="s">
        <v>474</v>
      </c>
      <c r="D59" s="89">
        <f>D40/BS!D57</f>
        <v>7.6275766649011492E-2</v>
      </c>
      <c r="E59" s="89">
        <f>E40/BS!E57</f>
        <v>7.5595395298979323E-2</v>
      </c>
      <c r="F59" s="89">
        <f>F40/BS!F57</f>
        <v>7.4735694446500023E-2</v>
      </c>
      <c r="G59" s="89">
        <f>G40/BS!G57</f>
        <v>5.0982346549946905E-2</v>
      </c>
      <c r="H59" s="89">
        <f>H40/BS!H57</f>
        <v>5.2992059459345695E-2</v>
      </c>
      <c r="I59" s="89">
        <f>I40/BS!I57</f>
        <v>5.5372918936664899E-2</v>
      </c>
      <c r="J59" s="89">
        <f>J40/BS!J57</f>
        <v>6.3208221555278832E-2</v>
      </c>
      <c r="K59" s="89">
        <f>K40/BS!K57</f>
        <v>7.7408131275949615E-2</v>
      </c>
      <c r="L59" s="89">
        <f>L40/BS!L57</f>
        <v>9.4841219123333376E-2</v>
      </c>
      <c r="M59" s="89">
        <f>M40/BS!M57</f>
        <v>0.11520611334905216</v>
      </c>
      <c r="N59" s="236"/>
    </row>
    <row r="60" spans="2:14" s="97" customFormat="1" ht="24.95" customHeight="1">
      <c r="B60" s="236"/>
      <c r="C60" s="22" t="s">
        <v>475</v>
      </c>
      <c r="D60" s="89"/>
      <c r="E60" s="89">
        <f>E7/D7-1</f>
        <v>4.3557564043239516E-4</v>
      </c>
      <c r="F60" s="89">
        <f t="shared" ref="F60:M60" si="27">F7/E7-1</f>
        <v>6.5464366377316452E-2</v>
      </c>
      <c r="G60" s="89">
        <f t="shared" si="27"/>
        <v>0.14302862360250024</v>
      </c>
      <c r="H60" s="89">
        <f t="shared" si="27"/>
        <v>0.10298290693777234</v>
      </c>
      <c r="I60" s="89">
        <f t="shared" si="27"/>
        <v>0.12964737866316178</v>
      </c>
      <c r="J60" s="89">
        <f t="shared" si="27"/>
        <v>0.18607955917127672</v>
      </c>
      <c r="K60" s="89">
        <f t="shared" si="27"/>
        <v>0.22341355709192734</v>
      </c>
      <c r="L60" s="89">
        <f t="shared" si="27"/>
        <v>0.24234914342121816</v>
      </c>
      <c r="M60" s="89">
        <f t="shared" si="27"/>
        <v>0.26176304496129044</v>
      </c>
      <c r="N60" s="236"/>
    </row>
    <row r="61" spans="2:14" ht="24.95" customHeight="1">
      <c r="B61" s="188"/>
      <c r="C61" s="22" t="s">
        <v>476</v>
      </c>
      <c r="D61" s="89"/>
      <c r="E61" s="89">
        <f>E40/D40-1</f>
        <v>3.4365478636717794E-2</v>
      </c>
      <c r="F61" s="89">
        <f t="shared" ref="F61:M61" si="28">F40/E40-1</f>
        <v>3.7744896561172858E-2</v>
      </c>
      <c r="G61" s="89">
        <f t="shared" si="28"/>
        <v>8.7200475278896183E-2</v>
      </c>
      <c r="H61" s="89">
        <f t="shared" si="28"/>
        <v>7.0127504553734177E-2</v>
      </c>
      <c r="I61" s="89">
        <f t="shared" si="28"/>
        <v>7.416577937232649E-2</v>
      </c>
      <c r="J61" s="89">
        <f t="shared" si="28"/>
        <v>0.17816386616985835</v>
      </c>
      <c r="K61" s="89">
        <f t="shared" si="28"/>
        <v>0.27329901684777647</v>
      </c>
      <c r="L61" s="89">
        <f t="shared" si="28"/>
        <v>0.28551542514968653</v>
      </c>
      <c r="M61" s="89">
        <f t="shared" si="28"/>
        <v>0.28827286633987259</v>
      </c>
      <c r="N61" s="188"/>
    </row>
    <row r="62" spans="2:14" ht="6" customHeight="1">
      <c r="B62" s="188"/>
      <c r="C62" s="236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</row>
    <row r="64" spans="2:14">
      <c r="J64" s="17" t="s">
        <v>392</v>
      </c>
    </row>
    <row r="65" spans="3:3">
      <c r="C65" s="97" t="s">
        <v>392</v>
      </c>
    </row>
  </sheetData>
  <mergeCells count="8">
    <mergeCell ref="C48:M48"/>
    <mergeCell ref="C52:M52"/>
    <mergeCell ref="C57:M57"/>
    <mergeCell ref="C10:M10"/>
    <mergeCell ref="C25:M25"/>
    <mergeCell ref="C30:M30"/>
    <mergeCell ref="C34:M34"/>
    <mergeCell ref="C44:M44"/>
  </mergeCells>
  <phoneticPr fontId="39" type="noConversion"/>
  <pageMargins left="0.7" right="0.7" top="0.75" bottom="0.75" header="0.3" footer="0.3"/>
  <pageSetup paperSize="9" orientation="portrait" horizontalDpi="2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outlinePr summaryBelow="0"/>
  </sheetPr>
  <dimension ref="A1:T69"/>
  <sheetViews>
    <sheetView showGridLines="0" zoomScale="85" zoomScaleNormal="85" workbookViewId="0">
      <pane xSplit="3" ySplit="6" topLeftCell="E7" activePane="bottomRight" state="frozen"/>
      <selection pane="topRight"/>
      <selection pane="bottomLeft"/>
      <selection pane="bottomRight" activeCell="C4" sqref="C4"/>
    </sheetView>
  </sheetViews>
  <sheetFormatPr defaultColWidth="9" defaultRowHeight="16.5"/>
  <cols>
    <col min="1" max="1" width="4.125" style="17" customWidth="1"/>
    <col min="2" max="2" width="0.875" style="17" customWidth="1"/>
    <col min="3" max="3" width="33.5" style="16" customWidth="1"/>
    <col min="4" max="13" width="15.625" style="17" customWidth="1"/>
    <col min="14" max="14" width="0.5" style="17" hidden="1" customWidth="1"/>
    <col min="15" max="17" width="15.625" style="17" hidden="1" customWidth="1"/>
    <col min="18" max="18" width="0.875" style="17" customWidth="1"/>
    <col min="19" max="20" width="13.25" style="17" customWidth="1"/>
    <col min="21" max="16384" width="9" style="17"/>
  </cols>
  <sheetData>
    <row r="1" spans="1:18" s="188" customFormat="1" ht="12" customHeight="1">
      <c r="C1" s="236"/>
    </row>
    <row r="2" spans="1:18" s="242" customFormat="1" ht="12" customHeight="1">
      <c r="C2" s="243"/>
      <c r="H2" s="244"/>
      <c r="P2" s="244"/>
      <c r="Q2" s="244"/>
    </row>
    <row r="3" spans="1:18" s="242" customFormat="1" ht="12" customHeight="1">
      <c r="C3" s="245"/>
      <c r="D3" s="246"/>
      <c r="E3" s="246"/>
      <c r="F3" s="246"/>
      <c r="G3" s="246"/>
      <c r="H3" s="246"/>
      <c r="I3" s="247"/>
      <c r="J3" s="247"/>
      <c r="K3" s="247"/>
      <c r="L3" s="247"/>
      <c r="M3" s="203"/>
      <c r="N3" s="247"/>
      <c r="O3" s="246"/>
      <c r="P3" s="246"/>
      <c r="Q3" s="246"/>
      <c r="R3" s="247"/>
    </row>
    <row r="4" spans="1:18" s="77" customFormat="1" ht="23.1" customHeight="1">
      <c r="C4" s="79"/>
      <c r="D4" s="80"/>
      <c r="E4" s="80"/>
      <c r="F4" s="80"/>
      <c r="G4" s="81"/>
      <c r="H4" s="81"/>
      <c r="I4" s="81"/>
      <c r="J4" s="92"/>
      <c r="K4" s="92"/>
      <c r="L4" s="92"/>
      <c r="M4" s="92"/>
      <c r="N4" s="92"/>
      <c r="O4" s="80"/>
      <c r="P4" s="80"/>
      <c r="Q4" s="80"/>
      <c r="R4" s="92"/>
    </row>
    <row r="5" spans="1:18" s="77" customFormat="1" ht="6" customHeight="1">
      <c r="B5" s="242"/>
      <c r="C5" s="245"/>
      <c r="D5" s="246"/>
      <c r="E5" s="246"/>
      <c r="F5" s="246"/>
      <c r="G5" s="246"/>
      <c r="H5" s="246"/>
      <c r="I5" s="247"/>
      <c r="J5" s="247"/>
      <c r="K5" s="247"/>
      <c r="L5" s="247"/>
      <c r="M5" s="247"/>
      <c r="N5" s="247"/>
      <c r="O5" s="246"/>
      <c r="P5" s="246"/>
      <c r="Q5" s="246"/>
      <c r="R5" s="247"/>
    </row>
    <row r="6" spans="1:18" s="78" customFormat="1" ht="24.95" customHeight="1">
      <c r="B6" s="188"/>
      <c r="C6" s="248" t="s">
        <v>707</v>
      </c>
      <c r="D6" s="240">
        <v>2014</v>
      </c>
      <c r="E6" s="240">
        <v>2015</v>
      </c>
      <c r="F6" s="240">
        <v>2016</v>
      </c>
      <c r="G6" s="240">
        <v>2017</v>
      </c>
      <c r="H6" s="240">
        <v>2018</v>
      </c>
      <c r="I6" s="241" t="s">
        <v>24</v>
      </c>
      <c r="J6" s="241" t="s">
        <v>25</v>
      </c>
      <c r="K6" s="241" t="s">
        <v>26</v>
      </c>
      <c r="L6" s="241" t="s">
        <v>27</v>
      </c>
      <c r="M6" s="241" t="s">
        <v>28</v>
      </c>
      <c r="N6" s="54"/>
      <c r="O6" s="64" t="s">
        <v>477</v>
      </c>
      <c r="P6" s="64" t="s">
        <v>478</v>
      </c>
      <c r="Q6" s="64" t="s">
        <v>479</v>
      </c>
      <c r="R6" s="188"/>
    </row>
    <row r="7" spans="1:18" ht="24.95" customHeight="1">
      <c r="B7" s="188"/>
      <c r="C7" s="82" t="s">
        <v>480</v>
      </c>
      <c r="D7" s="83"/>
      <c r="E7" s="84"/>
      <c r="F7" s="84"/>
      <c r="G7" s="84"/>
      <c r="H7" s="84"/>
      <c r="I7" s="84"/>
      <c r="J7" s="84"/>
      <c r="K7" s="84"/>
      <c r="L7" s="84"/>
      <c r="M7" s="84"/>
      <c r="N7" s="93"/>
      <c r="O7" s="83"/>
      <c r="P7" s="83"/>
      <c r="Q7" s="83"/>
      <c r="R7" s="228"/>
    </row>
    <row r="8" spans="1:18" ht="24.95" customHeight="1">
      <c r="B8" s="188"/>
      <c r="C8" s="85" t="s">
        <v>481</v>
      </c>
      <c r="D8" s="345">
        <f>资产负债表!C6</f>
        <v>536.37</v>
      </c>
      <c r="E8" s="345">
        <f>资产负债表!D6</f>
        <v>598.92999999999995</v>
      </c>
      <c r="F8" s="345">
        <f>资产负债表!E6</f>
        <v>586.58000000000004</v>
      </c>
      <c r="G8" s="345">
        <f>资产负债表!F6</f>
        <v>825.15</v>
      </c>
      <c r="H8" s="345">
        <f>资产负债表!G6</f>
        <v>693.44</v>
      </c>
      <c r="I8" s="345">
        <f>CS!J52</f>
        <v>405.15153375059566</v>
      </c>
      <c r="J8" s="345">
        <f>CS!K52</f>
        <v>472.84078769298378</v>
      </c>
      <c r="K8" s="345">
        <f>CS!L52</f>
        <v>527.6048553530851</v>
      </c>
      <c r="L8" s="345">
        <f>CS!M52</f>
        <v>576.75186644770895</v>
      </c>
      <c r="M8" s="345">
        <f>CS!N52</f>
        <v>614.35294396671452</v>
      </c>
      <c r="N8" s="90"/>
      <c r="O8" s="67"/>
      <c r="P8" s="67"/>
      <c r="Q8" s="67"/>
      <c r="R8" s="228"/>
    </row>
    <row r="9" spans="1:18" ht="24.95" customHeight="1">
      <c r="A9" s="190"/>
      <c r="B9" s="188"/>
      <c r="C9" s="85" t="s">
        <v>652</v>
      </c>
      <c r="D9" s="345">
        <f>资产负债表!C7</f>
        <v>0</v>
      </c>
      <c r="E9" s="345">
        <f>资产负债表!D7</f>
        <v>0</v>
      </c>
      <c r="F9" s="345">
        <f>资产负债表!E7</f>
        <v>0</v>
      </c>
      <c r="G9" s="345">
        <f>资产负债表!F7</f>
        <v>0</v>
      </c>
      <c r="H9" s="345">
        <f>资产负债表!G7</f>
        <v>0</v>
      </c>
      <c r="I9" s="351">
        <f>H9*1.08</f>
        <v>0</v>
      </c>
      <c r="J9" s="351">
        <f t="shared" ref="J9:M9" si="0">I9*1.08</f>
        <v>0</v>
      </c>
      <c r="K9" s="351">
        <f t="shared" si="0"/>
        <v>0</v>
      </c>
      <c r="L9" s="351">
        <f t="shared" si="0"/>
        <v>0</v>
      </c>
      <c r="M9" s="351">
        <f t="shared" si="0"/>
        <v>0</v>
      </c>
      <c r="N9" s="90"/>
      <c r="O9" s="67"/>
      <c r="P9" s="67"/>
      <c r="Q9" s="67"/>
      <c r="R9" s="228"/>
    </row>
    <row r="10" spans="1:18" ht="24.95" customHeight="1">
      <c r="A10" s="188"/>
      <c r="B10" s="188"/>
      <c r="C10" s="85" t="s">
        <v>482</v>
      </c>
      <c r="D10" s="345">
        <f>资产负债表!C9</f>
        <v>0</v>
      </c>
      <c r="E10" s="345">
        <f>资产负债表!D9</f>
        <v>0</v>
      </c>
      <c r="F10" s="345">
        <f>资产负债表!E9</f>
        <v>7</v>
      </c>
      <c r="G10" s="345">
        <f>资产负债表!F9</f>
        <v>1.8</v>
      </c>
      <c r="H10" s="345">
        <f>资产负债表!G9</f>
        <v>0</v>
      </c>
      <c r="I10" s="351">
        <v>0</v>
      </c>
      <c r="J10" s="351">
        <v>0</v>
      </c>
      <c r="K10" s="351">
        <v>0</v>
      </c>
      <c r="L10" s="351">
        <v>0</v>
      </c>
      <c r="M10" s="351">
        <v>0</v>
      </c>
      <c r="N10" s="90"/>
      <c r="O10" s="67"/>
      <c r="P10" s="67"/>
      <c r="Q10" s="67"/>
      <c r="R10" s="228"/>
    </row>
    <row r="11" spans="1:18" ht="24.95" customHeight="1">
      <c r="A11" s="188"/>
      <c r="B11" s="188"/>
      <c r="C11" s="85" t="s">
        <v>483</v>
      </c>
      <c r="D11" s="345">
        <f>资产负债表!C10</f>
        <v>125.84</v>
      </c>
      <c r="E11" s="345">
        <f>资产负债表!D10</f>
        <v>129.6</v>
      </c>
      <c r="F11" s="345">
        <f>资产负债表!E10</f>
        <v>113.57</v>
      </c>
      <c r="G11" s="345">
        <f>资产负债表!F10</f>
        <v>85.39</v>
      </c>
      <c r="H11" s="345">
        <f>资产负债表!G10</f>
        <v>85.7</v>
      </c>
      <c r="I11" s="345">
        <f>IS!I8/资产负债假设!J9</f>
        <v>138.00512571610346</v>
      </c>
      <c r="J11" s="345">
        <f>IS!J8/资产负债假设!K9</f>
        <v>163.68505867273262</v>
      </c>
      <c r="K11" s="345">
        <f>IS!K8/资产负债假设!L9</f>
        <v>200.25451987360861</v>
      </c>
      <c r="L11" s="345">
        <f>IS!L8/资产负债假设!M9</f>
        <v>248.78603123120499</v>
      </c>
      <c r="M11" s="345">
        <f>IS!M8/资产负债假设!N9</f>
        <v>313.90902031011996</v>
      </c>
      <c r="N11" s="90"/>
      <c r="O11" s="67"/>
      <c r="P11" s="67"/>
      <c r="Q11" s="67"/>
      <c r="R11" s="228"/>
    </row>
    <row r="12" spans="1:18" ht="24.95" customHeight="1">
      <c r="A12" s="188"/>
      <c r="B12" s="188"/>
      <c r="C12" s="85" t="s">
        <v>484</v>
      </c>
      <c r="D12" s="345">
        <f>资产负债表!C12</f>
        <v>12.98</v>
      </c>
      <c r="E12" s="345">
        <f>资产负债表!D12</f>
        <v>9.11</v>
      </c>
      <c r="F12" s="345">
        <f>资产负债表!E12</f>
        <v>30.19</v>
      </c>
      <c r="G12" s="345">
        <f>资产负债表!F12</f>
        <v>19.489999999999998</v>
      </c>
      <c r="H12" s="345">
        <f>资产负债表!G12</f>
        <v>24.9</v>
      </c>
      <c r="I12" s="351">
        <f>H12*1.05</f>
        <v>26.145</v>
      </c>
      <c r="J12" s="351">
        <f t="shared" ref="J12:M12" si="1">I12*1.05</f>
        <v>27.452249999999999</v>
      </c>
      <c r="K12" s="351">
        <f t="shared" si="1"/>
        <v>28.824862500000002</v>
      </c>
      <c r="L12" s="351">
        <f t="shared" si="1"/>
        <v>30.266105625000002</v>
      </c>
      <c r="M12" s="351">
        <f t="shared" si="1"/>
        <v>31.779410906250003</v>
      </c>
      <c r="N12" s="90"/>
      <c r="O12" s="67"/>
      <c r="P12" s="67"/>
      <c r="Q12" s="67"/>
      <c r="R12" s="228"/>
    </row>
    <row r="13" spans="1:18" ht="24.95" customHeight="1">
      <c r="A13" s="188"/>
      <c r="B13" s="188"/>
      <c r="C13" s="85" t="s">
        <v>485</v>
      </c>
      <c r="D13" s="345">
        <f>资产负债表!C13</f>
        <v>3.54</v>
      </c>
      <c r="E13" s="345">
        <f>资产负债表!D13</f>
        <v>3.5</v>
      </c>
      <c r="F13" s="345">
        <f>资产负债表!E13</f>
        <v>8.3699999999999992</v>
      </c>
      <c r="G13" s="345">
        <f>资产负债表!F13</f>
        <v>7.95</v>
      </c>
      <c r="H13" s="345">
        <f>资产负债表!G13</f>
        <v>6.52</v>
      </c>
      <c r="I13" s="351">
        <f>H13*1.05</f>
        <v>6.8460000000000001</v>
      </c>
      <c r="J13" s="351">
        <f t="shared" ref="J13:M13" si="2">I13*1.05</f>
        <v>7.1883000000000008</v>
      </c>
      <c r="K13" s="351">
        <f t="shared" si="2"/>
        <v>7.5477150000000011</v>
      </c>
      <c r="L13" s="351">
        <f t="shared" si="2"/>
        <v>7.9251007500000012</v>
      </c>
      <c r="M13" s="351">
        <f t="shared" si="2"/>
        <v>8.3213557875000017</v>
      </c>
      <c r="N13" s="90"/>
      <c r="O13" s="67"/>
      <c r="P13" s="67"/>
      <c r="Q13" s="67"/>
      <c r="R13" s="228"/>
    </row>
    <row r="14" spans="1:18" ht="24.95" customHeight="1">
      <c r="A14" s="190"/>
      <c r="B14" s="188"/>
      <c r="C14" s="176" t="s">
        <v>643</v>
      </c>
      <c r="D14" s="345">
        <f>资产负债表!C22</f>
        <v>0</v>
      </c>
      <c r="E14" s="345">
        <f>资产负债表!D22</f>
        <v>0</v>
      </c>
      <c r="F14" s="345">
        <f>资产负债表!E22</f>
        <v>0</v>
      </c>
      <c r="G14" s="345">
        <f>资产负债表!F22</f>
        <v>0</v>
      </c>
      <c r="H14" s="345">
        <f>资产负债表!G22</f>
        <v>0</v>
      </c>
      <c r="I14" s="351">
        <f>H14*(1+IS!I9)</f>
        <v>0</v>
      </c>
      <c r="J14" s="351">
        <f>I14*(1+IS!J9)</f>
        <v>0</v>
      </c>
      <c r="K14" s="351">
        <f>J14*(1+IS!K9)</f>
        <v>0</v>
      </c>
      <c r="L14" s="351">
        <f>K14*(1+IS!L9)</f>
        <v>0</v>
      </c>
      <c r="M14" s="351">
        <f>L14*(1+IS!M9)</f>
        <v>0</v>
      </c>
      <c r="N14" s="90"/>
      <c r="O14" s="67"/>
      <c r="P14" s="67"/>
      <c r="Q14" s="67"/>
      <c r="R14" s="228"/>
    </row>
    <row r="15" spans="1:18" ht="24.95" customHeight="1">
      <c r="A15" s="187"/>
      <c r="B15" s="188"/>
      <c r="C15" s="85" t="s">
        <v>486</v>
      </c>
      <c r="D15" s="345">
        <f>资产负债表!C18</f>
        <v>772.41</v>
      </c>
      <c r="E15" s="345">
        <f>资产负债表!D18</f>
        <v>736.55</v>
      </c>
      <c r="F15" s="345">
        <f>资产负债表!E18</f>
        <v>779.77</v>
      </c>
      <c r="G15" s="345">
        <f>资产负债表!F18</f>
        <v>821.72</v>
      </c>
      <c r="H15" s="345">
        <f>资产负债表!G18</f>
        <v>875.25</v>
      </c>
      <c r="I15" s="345">
        <f>IS!I12/资产负债假设!J10</f>
        <v>982.32061195307847</v>
      </c>
      <c r="J15" s="345">
        <f>IS!J12/资产负债假设!K10</f>
        <v>1156.0072459808857</v>
      </c>
      <c r="K15" s="345">
        <f>IS!K12/资产负债假设!L10</f>
        <v>1400.619498805376</v>
      </c>
      <c r="L15" s="345">
        <f>IS!L12/资产负债假设!M10</f>
        <v>1725.1886599825123</v>
      </c>
      <c r="M15" s="345">
        <f>IS!M12/资产负债假设!N10</f>
        <v>2163.9558062711799</v>
      </c>
      <c r="N15" s="90"/>
      <c r="O15" s="67"/>
      <c r="P15" s="67"/>
      <c r="Q15" s="67"/>
      <c r="R15" s="228"/>
    </row>
    <row r="16" spans="1:18" ht="24.95" customHeight="1">
      <c r="A16" s="190"/>
      <c r="B16" s="188"/>
      <c r="C16" s="85" t="s">
        <v>487</v>
      </c>
      <c r="D16" s="345">
        <f>资产负债表!C24</f>
        <v>1.66</v>
      </c>
      <c r="E16" s="345">
        <f>资产负债表!D24</f>
        <v>69.83</v>
      </c>
      <c r="F16" s="345">
        <f>资产负债表!E24</f>
        <v>69.959999999999994</v>
      </c>
      <c r="G16" s="345">
        <f>资产负债表!F24</f>
        <v>921.36</v>
      </c>
      <c r="H16" s="345">
        <f>资产负债表!G24</f>
        <v>873.11</v>
      </c>
      <c r="I16" s="351">
        <f>H16</f>
        <v>873.11</v>
      </c>
      <c r="J16" s="351">
        <f>I16</f>
        <v>873.11</v>
      </c>
      <c r="K16" s="351">
        <f t="shared" ref="K16:M16" si="3">J16</f>
        <v>873.11</v>
      </c>
      <c r="L16" s="351">
        <f t="shared" si="3"/>
        <v>873.11</v>
      </c>
      <c r="M16" s="351">
        <f t="shared" si="3"/>
        <v>873.11</v>
      </c>
      <c r="N16" s="90"/>
      <c r="O16" s="67"/>
      <c r="P16" s="67"/>
      <c r="Q16" s="67"/>
      <c r="R16" s="228"/>
    </row>
    <row r="17" spans="1:18" ht="24.95" customHeight="1">
      <c r="B17" s="188"/>
      <c r="C17" s="82" t="s">
        <v>488</v>
      </c>
      <c r="D17" s="352">
        <f>SUM(D8:D16)</f>
        <v>1452.8</v>
      </c>
      <c r="E17" s="352">
        <f t="shared" ref="E17:H17" si="4">SUM(E8:E16)</f>
        <v>1547.52</v>
      </c>
      <c r="F17" s="352">
        <f t="shared" si="4"/>
        <v>1595.44</v>
      </c>
      <c r="G17" s="352">
        <f t="shared" si="4"/>
        <v>2682.86</v>
      </c>
      <c r="H17" s="352">
        <f t="shared" si="4"/>
        <v>2558.92</v>
      </c>
      <c r="I17" s="352">
        <f>SUM(I8:I16)</f>
        <v>2431.5782714197776</v>
      </c>
      <c r="J17" s="352">
        <f t="shared" ref="J17:M17" si="5">SUM(J8:J16)</f>
        <v>2700.2836423466024</v>
      </c>
      <c r="K17" s="352">
        <f t="shared" si="5"/>
        <v>3037.96145153207</v>
      </c>
      <c r="L17" s="352">
        <f t="shared" si="5"/>
        <v>3462.0277640364261</v>
      </c>
      <c r="M17" s="352">
        <f t="shared" si="5"/>
        <v>4005.4285372417644</v>
      </c>
      <c r="N17" s="93" t="s">
        <v>392</v>
      </c>
      <c r="O17" s="83">
        <f>SUM(O8:O16)-O8</f>
        <v>0</v>
      </c>
      <c r="P17" s="83">
        <f>SUM(P8:P16)-P8</f>
        <v>0</v>
      </c>
      <c r="Q17" s="83">
        <f>SUM(Q8:Q16)-Q8</f>
        <v>0</v>
      </c>
      <c r="R17" s="228" t="s">
        <v>392</v>
      </c>
    </row>
    <row r="18" spans="1:18" ht="24.95" customHeight="1">
      <c r="A18" s="191"/>
      <c r="B18" s="188"/>
      <c r="C18" s="85" t="s">
        <v>489</v>
      </c>
      <c r="D18" s="345">
        <f>资产负债表!C35</f>
        <v>93.71</v>
      </c>
      <c r="E18" s="345">
        <f>资产负债表!D35</f>
        <v>93.52</v>
      </c>
      <c r="F18" s="345">
        <f>资产负债表!E35</f>
        <v>198.35</v>
      </c>
      <c r="G18" s="345">
        <f>资产负债表!F35</f>
        <v>198.59</v>
      </c>
      <c r="H18" s="345">
        <f>资产负债表!G35</f>
        <v>198.36</v>
      </c>
      <c r="I18" s="351">
        <f>H18</f>
        <v>198.36</v>
      </c>
      <c r="J18" s="351">
        <f t="shared" ref="J18:M18" si="6">I18</f>
        <v>198.36</v>
      </c>
      <c r="K18" s="351">
        <f t="shared" si="6"/>
        <v>198.36</v>
      </c>
      <c r="L18" s="351">
        <f t="shared" si="6"/>
        <v>198.36</v>
      </c>
      <c r="M18" s="351">
        <f t="shared" si="6"/>
        <v>198.36</v>
      </c>
      <c r="N18" s="90"/>
      <c r="O18" s="67"/>
      <c r="P18" s="67"/>
      <c r="Q18" s="67"/>
      <c r="R18" s="228"/>
    </row>
    <row r="19" spans="1:18" ht="24.95" customHeight="1">
      <c r="A19" s="188"/>
      <c r="B19" s="188"/>
      <c r="C19" s="85" t="s">
        <v>653</v>
      </c>
      <c r="D19" s="345">
        <f>资产负债表!C39</f>
        <v>0</v>
      </c>
      <c r="E19" s="345">
        <f>资产负债表!D39</f>
        <v>0</v>
      </c>
      <c r="F19" s="345">
        <f>资产负债表!E39</f>
        <v>0</v>
      </c>
      <c r="G19" s="345">
        <f>资产负债表!F39</f>
        <v>0</v>
      </c>
      <c r="H19" s="345">
        <f>资产负债表!G39</f>
        <v>0</v>
      </c>
      <c r="I19" s="351">
        <f>AVERAGE(F19:H19)</f>
        <v>0</v>
      </c>
      <c r="J19" s="351">
        <f>I19*(1+IS!I9)</f>
        <v>0</v>
      </c>
      <c r="K19" s="351">
        <f>J19*(1+IS!J9)</f>
        <v>0</v>
      </c>
      <c r="L19" s="351">
        <f>K19*(1+IS!K9)</f>
        <v>0</v>
      </c>
      <c r="M19" s="351">
        <f>L19*(1+IS!L9)</f>
        <v>0</v>
      </c>
      <c r="N19" s="90"/>
      <c r="O19" s="67"/>
      <c r="P19" s="67"/>
      <c r="Q19" s="67"/>
      <c r="R19" s="228"/>
    </row>
    <row r="20" spans="1:18" ht="24.95" customHeight="1">
      <c r="A20" s="184"/>
      <c r="B20" s="188"/>
      <c r="C20" s="85" t="s">
        <v>490</v>
      </c>
      <c r="D20" s="345">
        <f>资产负债表!C40</f>
        <v>73.260000000000005</v>
      </c>
      <c r="E20" s="345">
        <f>资产负债表!D40</f>
        <v>99.1</v>
      </c>
      <c r="F20" s="345">
        <f>资产负债表!E40</f>
        <v>104.69</v>
      </c>
      <c r="G20" s="345">
        <f>资产负债表!F40</f>
        <v>108.92</v>
      </c>
      <c r="H20" s="345">
        <f>资产负债表!G40</f>
        <v>101.21</v>
      </c>
      <c r="I20" s="351">
        <f>H20+IS!I20+资本开支假设!I12</f>
        <v>101.21</v>
      </c>
      <c r="J20" s="351">
        <f>I20+IS!J20+资本开支假设!J12</f>
        <v>101.21</v>
      </c>
      <c r="K20" s="351">
        <f>J20+IS!K20+资本开支假设!K12</f>
        <v>101.21</v>
      </c>
      <c r="L20" s="351">
        <f>K20+IS!L20+资本开支假设!L12</f>
        <v>101.21</v>
      </c>
      <c r="M20" s="351">
        <f>L20+IS!M20+资本开支假设!M12</f>
        <v>101.21</v>
      </c>
      <c r="N20" s="90"/>
      <c r="O20" s="67"/>
      <c r="P20" s="67"/>
      <c r="Q20" s="67"/>
      <c r="R20" s="228"/>
    </row>
    <row r="21" spans="1:18" ht="24.95" customHeight="1">
      <c r="A21" s="192"/>
      <c r="B21" s="188"/>
      <c r="C21" s="85" t="s">
        <v>491</v>
      </c>
      <c r="D21" s="345">
        <f>资产负债表!C41</f>
        <v>41.71</v>
      </c>
      <c r="E21" s="345">
        <f>资产负债表!D41</f>
        <v>39.96</v>
      </c>
      <c r="F21" s="345">
        <f>资产负债表!E41</f>
        <v>73.19</v>
      </c>
      <c r="G21" s="345">
        <f>资产负债表!F41</f>
        <v>73.13</v>
      </c>
      <c r="H21" s="345">
        <f>资产负债表!G41</f>
        <v>71.12</v>
      </c>
      <c r="I21" s="345">
        <f>资本开支假设!I25</f>
        <v>68.881146014549458</v>
      </c>
      <c r="J21" s="345">
        <f>资本开支假设!J25</f>
        <v>66.735657528406378</v>
      </c>
      <c r="K21" s="345">
        <f>资本开支假设!K25</f>
        <v>64.679640979722791</v>
      </c>
      <c r="L21" s="345">
        <f>资本开支假设!L25</f>
        <v>62.70936517737627</v>
      </c>
      <c r="M21" s="345">
        <f>资本开支假设!M25</f>
        <v>60.82125452972717</v>
      </c>
      <c r="N21" s="90"/>
      <c r="O21" s="67"/>
      <c r="P21" s="67"/>
      <c r="Q21" s="67"/>
      <c r="R21" s="228"/>
    </row>
    <row r="22" spans="1:18" ht="24.95" customHeight="1">
      <c r="A22" s="192"/>
      <c r="B22" s="188"/>
      <c r="C22" s="85" t="s">
        <v>492</v>
      </c>
      <c r="D22" s="345">
        <f>资产负债表!C42</f>
        <v>543.63</v>
      </c>
      <c r="E22" s="345">
        <f>资产负债表!D42</f>
        <v>563.33000000000004</v>
      </c>
      <c r="F22" s="345">
        <f>资产负债表!E42</f>
        <v>623.08000000000004</v>
      </c>
      <c r="G22" s="345">
        <f>资产负债表!F42</f>
        <v>732.97</v>
      </c>
      <c r="H22" s="345">
        <f>资产负债表!G42</f>
        <v>1119.53</v>
      </c>
      <c r="I22" s="345">
        <f>资本开支假设!I37</f>
        <v>1077.1697134430785</v>
      </c>
      <c r="J22" s="345">
        <f>资本开支假设!J37</f>
        <v>1043.7685497893535</v>
      </c>
      <c r="K22" s="345">
        <f>资本开支假设!K37</f>
        <v>1014.696300346497</v>
      </c>
      <c r="L22" s="345">
        <f>资本开支假设!L37</f>
        <v>989.84346891158316</v>
      </c>
      <c r="M22" s="345">
        <f>资本开支假设!M37</f>
        <v>969.12259455584319</v>
      </c>
      <c r="N22" s="90"/>
      <c r="O22" s="67"/>
      <c r="P22" s="67"/>
      <c r="Q22" s="67"/>
      <c r="R22" s="228"/>
    </row>
    <row r="23" spans="1:18" ht="24.95" customHeight="1">
      <c r="A23" s="192"/>
      <c r="B23" s="188"/>
      <c r="C23" s="85" t="s">
        <v>417</v>
      </c>
      <c r="D23" s="345">
        <f>资产负债表!C45</f>
        <v>45.2</v>
      </c>
      <c r="E23" s="345">
        <f>资产负债表!D45</f>
        <v>8.73</v>
      </c>
      <c r="F23" s="345">
        <f>资产负债表!E45</f>
        <v>17.010000000000002</v>
      </c>
      <c r="G23" s="345">
        <f>资产负债表!F45</f>
        <v>63.6</v>
      </c>
      <c r="H23" s="345">
        <f>资产负债表!G45</f>
        <v>12.67</v>
      </c>
      <c r="I23" s="345">
        <f>资本开支假设!I38</f>
        <v>13</v>
      </c>
      <c r="J23" s="345">
        <f>资本开支假设!J38</f>
        <v>10</v>
      </c>
      <c r="K23" s="345">
        <f>资本开支假设!K38</f>
        <v>8</v>
      </c>
      <c r="L23" s="345">
        <f>资本开支假设!L38</f>
        <v>7</v>
      </c>
      <c r="M23" s="345">
        <f>资本开支假设!M38</f>
        <v>7</v>
      </c>
      <c r="N23" s="90"/>
      <c r="O23" s="67"/>
      <c r="P23" s="67"/>
      <c r="Q23" s="67"/>
      <c r="R23" s="228"/>
    </row>
    <row r="24" spans="1:18" ht="24.95" customHeight="1">
      <c r="A24" s="192"/>
      <c r="B24" s="188"/>
      <c r="C24" s="85" t="s">
        <v>493</v>
      </c>
      <c r="D24" s="345">
        <f>资产负债表!C48</f>
        <v>0</v>
      </c>
      <c r="E24" s="345">
        <f>资产负债表!D48</f>
        <v>0</v>
      </c>
      <c r="F24" s="345">
        <f>资产负债表!E48</f>
        <v>0</v>
      </c>
      <c r="G24" s="345">
        <f>资产负债表!F48</f>
        <v>0</v>
      </c>
      <c r="H24" s="345">
        <f>资产负债表!G48</f>
        <v>0</v>
      </c>
      <c r="I24" s="345">
        <f>资本开支假设!I50</f>
        <v>0</v>
      </c>
      <c r="J24" s="345">
        <f>资本开支假设!J50</f>
        <v>0</v>
      </c>
      <c r="K24" s="345">
        <f>资本开支假设!K50</f>
        <v>0</v>
      </c>
      <c r="L24" s="345">
        <f>资本开支假设!L50</f>
        <v>0</v>
      </c>
      <c r="M24" s="345">
        <f>资本开支假设!M50</f>
        <v>0</v>
      </c>
      <c r="N24" s="90"/>
      <c r="O24" s="67"/>
      <c r="P24" s="67"/>
      <c r="Q24" s="67"/>
      <c r="R24" s="228"/>
    </row>
    <row r="25" spans="1:18" ht="24.95" customHeight="1">
      <c r="A25" s="192"/>
      <c r="B25" s="188"/>
      <c r="C25" s="85" t="s">
        <v>494</v>
      </c>
      <c r="D25" s="345">
        <f>资产负债表!C51</f>
        <v>82.19</v>
      </c>
      <c r="E25" s="345">
        <f>资产负债表!D51</f>
        <v>79.989999999999995</v>
      </c>
      <c r="F25" s="345">
        <f>资产负债表!E51</f>
        <v>210.23</v>
      </c>
      <c r="G25" s="345">
        <f>资产负债表!F51</f>
        <v>210.4</v>
      </c>
      <c r="H25" s="345">
        <f>资产负债表!G51</f>
        <v>205.73</v>
      </c>
      <c r="I25" s="345">
        <f>资本开支假设!I62</f>
        <v>203.43406144996314</v>
      </c>
      <c r="J25" s="345">
        <f>资本开支假设!J62</f>
        <v>201.53878482379807</v>
      </c>
      <c r="K25" s="345">
        <f>资本开支假设!K62</f>
        <v>200.0533421609552</v>
      </c>
      <c r="L25" s="345">
        <f>资本开支假设!L62</f>
        <v>198.98818212366163</v>
      </c>
      <c r="M25" s="345">
        <f>资本开支假设!M62</f>
        <v>198.35509802505405</v>
      </c>
      <c r="N25" s="90"/>
      <c r="O25" s="67"/>
      <c r="P25" s="67"/>
      <c r="Q25" s="67"/>
      <c r="R25" s="228"/>
    </row>
    <row r="26" spans="1:18" ht="24.95" customHeight="1">
      <c r="A26" s="192"/>
      <c r="B26" s="188"/>
      <c r="C26" s="85" t="s">
        <v>422</v>
      </c>
      <c r="D26" s="345">
        <f>资产负债表!C52</f>
        <v>0</v>
      </c>
      <c r="E26" s="345">
        <f>资产负债表!D52</f>
        <v>0</v>
      </c>
      <c r="F26" s="345">
        <f>资产负债表!E52</f>
        <v>0</v>
      </c>
      <c r="G26" s="345">
        <f>资产负债表!F52</f>
        <v>0</v>
      </c>
      <c r="H26" s="345">
        <f>资产负债表!G52</f>
        <v>0</v>
      </c>
      <c r="I26" s="345">
        <f>资本开支假设!I63</f>
        <v>0</v>
      </c>
      <c r="J26" s="345">
        <f>资本开支假设!J63</f>
        <v>0</v>
      </c>
      <c r="K26" s="345">
        <f>资本开支假设!K63</f>
        <v>0</v>
      </c>
      <c r="L26" s="345">
        <f>资本开支假设!L63</f>
        <v>0</v>
      </c>
      <c r="M26" s="345">
        <f>资本开支假设!M63</f>
        <v>0</v>
      </c>
      <c r="N26" s="90"/>
      <c r="O26" s="67"/>
      <c r="P26" s="67"/>
      <c r="Q26" s="67"/>
      <c r="R26" s="228"/>
    </row>
    <row r="27" spans="1:18" ht="24.95" customHeight="1">
      <c r="A27" s="192"/>
      <c r="B27" s="188"/>
      <c r="C27" s="85" t="s">
        <v>495</v>
      </c>
      <c r="D27" s="345">
        <f>资产负债表!C53</f>
        <v>0</v>
      </c>
      <c r="E27" s="345">
        <f>资产负债表!D53</f>
        <v>0</v>
      </c>
      <c r="F27" s="345">
        <f>资产负债表!E53</f>
        <v>16.88</v>
      </c>
      <c r="G27" s="345">
        <f>资产负债表!F53</f>
        <v>18.03</v>
      </c>
      <c r="H27" s="345">
        <f>资产负债表!G53</f>
        <v>18.11</v>
      </c>
      <c r="I27" s="351">
        <f>H27</f>
        <v>18.11</v>
      </c>
      <c r="J27" s="351">
        <f t="shared" ref="J27:M27" si="7">I27</f>
        <v>18.11</v>
      </c>
      <c r="K27" s="351">
        <f t="shared" si="7"/>
        <v>18.11</v>
      </c>
      <c r="L27" s="351">
        <f t="shared" si="7"/>
        <v>18.11</v>
      </c>
      <c r="M27" s="351">
        <f t="shared" si="7"/>
        <v>18.11</v>
      </c>
      <c r="N27" s="90"/>
      <c r="O27" s="67"/>
      <c r="P27" s="67"/>
      <c r="Q27" s="67"/>
      <c r="R27" s="228"/>
    </row>
    <row r="28" spans="1:18" ht="24.95" customHeight="1">
      <c r="A28" s="192"/>
      <c r="B28" s="188"/>
      <c r="C28" s="85" t="s">
        <v>496</v>
      </c>
      <c r="D28" s="345">
        <f>资产负债表!C54</f>
        <v>1.41</v>
      </c>
      <c r="E28" s="345">
        <f>资产负债表!D54</f>
        <v>1.98</v>
      </c>
      <c r="F28" s="345">
        <f>资产负债表!E54</f>
        <v>3.11</v>
      </c>
      <c r="G28" s="345">
        <f>资产负债表!F54</f>
        <v>5.0599999999999996</v>
      </c>
      <c r="H28" s="345">
        <f>资产负债表!G54</f>
        <v>4.17</v>
      </c>
      <c r="I28" s="345">
        <f>资本开支假设!I75</f>
        <v>5.3383333333333338</v>
      </c>
      <c r="J28" s="345">
        <f>资本开支假设!J75</f>
        <v>6.3906704129944742</v>
      </c>
      <c r="K28" s="345">
        <f>资本开支假设!K75</f>
        <v>7.5047343003175389</v>
      </c>
      <c r="L28" s="345">
        <f>资本开支假设!L75</f>
        <v>8.8105332194680681</v>
      </c>
      <c r="M28" s="345">
        <f>资本开支假设!M75</f>
        <v>10.4019340159774</v>
      </c>
      <c r="N28" s="90"/>
      <c r="O28" s="67"/>
      <c r="P28" s="67"/>
      <c r="Q28" s="67"/>
      <c r="R28" s="228"/>
    </row>
    <row r="29" spans="1:18" ht="24.95" customHeight="1">
      <c r="A29" s="185"/>
      <c r="B29" s="188"/>
      <c r="C29" s="85" t="s">
        <v>497</v>
      </c>
      <c r="D29" s="345">
        <f>资产负债表!C55</f>
        <v>27.32</v>
      </c>
      <c r="E29" s="345">
        <f>资产负债表!D55</f>
        <v>25.44</v>
      </c>
      <c r="F29" s="345">
        <f>资产负债表!E55</f>
        <v>44.65</v>
      </c>
      <c r="G29" s="345">
        <f>资产负债表!F55</f>
        <v>70.52</v>
      </c>
      <c r="H29" s="345">
        <f>资产负债表!G55</f>
        <v>74.459999999999994</v>
      </c>
      <c r="I29" s="351">
        <f>H29*(1+IS!I32)</f>
        <v>81.091694531328457</v>
      </c>
      <c r="J29" s="351">
        <f>I29*(1+IS!J32)</f>
        <v>95.614063438914002</v>
      </c>
      <c r="K29" s="351">
        <f>J29*(1+IS!K32)</f>
        <v>121.89564209442311</v>
      </c>
      <c r="L29" s="351">
        <f>K29*(1+IS!L32)</f>
        <v>156.86926875719936</v>
      </c>
      <c r="M29" s="351">
        <f>L29*(1+IS!M32)</f>
        <v>202.27523567467392</v>
      </c>
      <c r="N29" s="90"/>
      <c r="O29" s="67"/>
      <c r="P29" s="67"/>
      <c r="Q29" s="67"/>
      <c r="R29" s="228"/>
    </row>
    <row r="30" spans="1:18" ht="24.95" customHeight="1">
      <c r="A30" s="190"/>
      <c r="B30" s="188"/>
      <c r="C30" s="85" t="s">
        <v>498</v>
      </c>
      <c r="D30" s="345">
        <f>资产负债表!C56</f>
        <v>12.06</v>
      </c>
      <c r="E30" s="345">
        <f>资产负债表!D56</f>
        <v>4.63</v>
      </c>
      <c r="F30" s="345">
        <f>资产负债表!E56</f>
        <v>8.23</v>
      </c>
      <c r="G30" s="345">
        <f>资产负债表!F56</f>
        <v>5.45</v>
      </c>
      <c r="H30" s="345">
        <f>资产负债表!G56</f>
        <v>12.17</v>
      </c>
      <c r="I30" s="351">
        <f>H30*(1+IS!I9)</f>
        <v>13.747808598330678</v>
      </c>
      <c r="J30" s="351">
        <f>I30*(1+IS!J9)</f>
        <v>16.305994761879138</v>
      </c>
      <c r="K30" s="351">
        <f>J30*(1+IS!K9)</f>
        <v>19.948975053552889</v>
      </c>
      <c r="L30" s="351">
        <f>K30*(1+IS!L9)</f>
        <v>24.783592069912682</v>
      </c>
      <c r="M30" s="351">
        <f>L30*(1+IS!M9)</f>
        <v>31.271020595211517</v>
      </c>
      <c r="N30" s="90"/>
      <c r="O30" s="67"/>
      <c r="P30" s="67"/>
      <c r="Q30" s="67"/>
      <c r="R30" s="228"/>
    </row>
    <row r="31" spans="1:18" ht="24.95" customHeight="1">
      <c r="B31" s="188"/>
      <c r="C31" s="82" t="s">
        <v>499</v>
      </c>
      <c r="D31" s="352">
        <f t="shared" ref="D31:M31" si="8">SUM(D18:D30)</f>
        <v>920.49</v>
      </c>
      <c r="E31" s="352">
        <f t="shared" si="8"/>
        <v>916.68000000000018</v>
      </c>
      <c r="F31" s="352">
        <f t="shared" si="8"/>
        <v>1299.42</v>
      </c>
      <c r="G31" s="352">
        <f t="shared" si="8"/>
        <v>1486.67</v>
      </c>
      <c r="H31" s="352">
        <f t="shared" si="8"/>
        <v>1817.5300000000002</v>
      </c>
      <c r="I31" s="352">
        <f>SUM(I18:I30)</f>
        <v>1780.3427573705835</v>
      </c>
      <c r="J31" s="352">
        <f t="shared" si="8"/>
        <v>1758.0337207553455</v>
      </c>
      <c r="K31" s="352">
        <f t="shared" si="8"/>
        <v>1754.4586349354684</v>
      </c>
      <c r="L31" s="352">
        <f t="shared" si="8"/>
        <v>1766.6844102592006</v>
      </c>
      <c r="M31" s="352">
        <f t="shared" si="8"/>
        <v>1796.9271373964871</v>
      </c>
      <c r="N31" s="93" t="s">
        <v>392</v>
      </c>
      <c r="O31" s="83">
        <f>SUM(O22:O30)</f>
        <v>0</v>
      </c>
      <c r="P31" s="83">
        <f>SUM(P22:P30)</f>
        <v>0</v>
      </c>
      <c r="Q31" s="83">
        <f>SUM(Q22:Q30)</f>
        <v>0</v>
      </c>
      <c r="R31" s="228" t="s">
        <v>392</v>
      </c>
    </row>
    <row r="32" spans="1:18" ht="24.95" customHeight="1">
      <c r="B32" s="188"/>
      <c r="C32" s="82" t="s">
        <v>500</v>
      </c>
      <c r="D32" s="352">
        <f t="shared" ref="D32:M32" si="9">D31+D17</f>
        <v>2373.29</v>
      </c>
      <c r="E32" s="352">
        <f t="shared" si="9"/>
        <v>2464.2000000000003</v>
      </c>
      <c r="F32" s="352">
        <f t="shared" si="9"/>
        <v>2894.86</v>
      </c>
      <c r="G32" s="352">
        <f t="shared" si="9"/>
        <v>4169.5300000000007</v>
      </c>
      <c r="H32" s="352">
        <f t="shared" si="9"/>
        <v>4376.4500000000007</v>
      </c>
      <c r="I32" s="352">
        <f>I31+I17</f>
        <v>4211.9210287903607</v>
      </c>
      <c r="J32" s="352">
        <f t="shared" si="9"/>
        <v>4458.3173631019481</v>
      </c>
      <c r="K32" s="352">
        <f t="shared" si="9"/>
        <v>4792.4200864675386</v>
      </c>
      <c r="L32" s="352">
        <f t="shared" si="9"/>
        <v>5228.7121742956269</v>
      </c>
      <c r="M32" s="352">
        <f t="shared" si="9"/>
        <v>5802.355674638251</v>
      </c>
      <c r="N32" s="93"/>
      <c r="O32" s="83">
        <f>O31+O17</f>
        <v>0</v>
      </c>
      <c r="P32" s="83">
        <f>P31+P17</f>
        <v>0</v>
      </c>
      <c r="Q32" s="83">
        <f>Q31+Q17</f>
        <v>0</v>
      </c>
      <c r="R32" s="228"/>
    </row>
    <row r="33" spans="1:20" ht="24.95" customHeight="1">
      <c r="B33" s="188"/>
      <c r="C33" s="82" t="s">
        <v>501</v>
      </c>
      <c r="D33" s="352"/>
      <c r="E33" s="353"/>
      <c r="F33" s="353"/>
      <c r="G33" s="353"/>
      <c r="H33" s="353"/>
      <c r="I33" s="352"/>
      <c r="J33" s="352"/>
      <c r="K33" s="352"/>
      <c r="L33" s="352"/>
      <c r="M33" s="352"/>
      <c r="N33" s="93"/>
      <c r="O33" s="83"/>
      <c r="P33" s="83"/>
      <c r="Q33" s="83"/>
      <c r="R33" s="228"/>
    </row>
    <row r="34" spans="1:20" ht="24.95" customHeight="1">
      <c r="A34" s="194"/>
      <c r="B34" s="188"/>
      <c r="C34" s="85" t="s">
        <v>502</v>
      </c>
      <c r="D34" s="345">
        <f>资产负债表!C64</f>
        <v>0</v>
      </c>
      <c r="E34" s="345">
        <f>资产负债表!D64</f>
        <v>90</v>
      </c>
      <c r="F34" s="345">
        <f>资产负债表!E64</f>
        <v>325.36</v>
      </c>
      <c r="G34" s="345">
        <f>资产负债表!F64</f>
        <v>289.58</v>
      </c>
      <c r="H34" s="345">
        <f>资产负债表!G64</f>
        <v>259.63</v>
      </c>
      <c r="I34" s="345">
        <f>CS!J70</f>
        <v>41.401537714831036</v>
      </c>
      <c r="J34" s="345">
        <f>CS!K70</f>
        <v>49.105517601819784</v>
      </c>
      <c r="K34" s="345">
        <f>CS!L70</f>
        <v>60.07635596208258</v>
      </c>
      <c r="L34" s="345">
        <f>CS!M70</f>
        <v>74.635809369361496</v>
      </c>
      <c r="M34" s="345">
        <f>CS!N70</f>
        <v>94.172706093035984</v>
      </c>
      <c r="N34" s="90" t="s">
        <v>392</v>
      </c>
      <c r="O34" s="67"/>
      <c r="P34" s="67"/>
      <c r="Q34" s="67"/>
      <c r="R34" s="228" t="s">
        <v>392</v>
      </c>
      <c r="S34" s="94"/>
      <c r="T34" s="94"/>
    </row>
    <row r="35" spans="1:20" ht="24.95" customHeight="1">
      <c r="A35" s="190"/>
      <c r="B35" s="188"/>
      <c r="C35" s="85" t="s">
        <v>654</v>
      </c>
      <c r="D35" s="345">
        <f>资产负债表!C65</f>
        <v>0</v>
      </c>
      <c r="E35" s="345">
        <f>资产负债表!D65</f>
        <v>0</v>
      </c>
      <c r="F35" s="345">
        <f>资产负债表!E65</f>
        <v>0</v>
      </c>
      <c r="G35" s="345">
        <f>资产负债表!F65</f>
        <v>0</v>
      </c>
      <c r="H35" s="345">
        <f>资产负债表!G65</f>
        <v>0</v>
      </c>
      <c r="I35" s="351">
        <f>H35</f>
        <v>0</v>
      </c>
      <c r="J35" s="351">
        <f>I35</f>
        <v>0</v>
      </c>
      <c r="K35" s="351">
        <f t="shared" ref="K35:M35" si="10">J35</f>
        <v>0</v>
      </c>
      <c r="L35" s="351">
        <f t="shared" si="10"/>
        <v>0</v>
      </c>
      <c r="M35" s="351">
        <f t="shared" si="10"/>
        <v>0</v>
      </c>
      <c r="N35" s="90"/>
      <c r="O35" s="67"/>
      <c r="P35" s="67"/>
      <c r="Q35" s="67"/>
      <c r="R35" s="228"/>
      <c r="S35" s="94"/>
      <c r="T35" s="94"/>
    </row>
    <row r="36" spans="1:20" ht="24.95" customHeight="1">
      <c r="A36" s="189"/>
      <c r="B36" s="188"/>
      <c r="C36" s="85" t="s">
        <v>503</v>
      </c>
      <c r="D36" s="345">
        <f>资产负债表!C67</f>
        <v>0</v>
      </c>
      <c r="E36" s="345">
        <f>资产负债表!D67</f>
        <v>0</v>
      </c>
      <c r="F36" s="345">
        <f>资产负债表!E67</f>
        <v>23</v>
      </c>
      <c r="G36" s="345">
        <f>资产负债表!F67</f>
        <v>0</v>
      </c>
      <c r="H36" s="345">
        <f>资产负债表!G67</f>
        <v>0</v>
      </c>
      <c r="I36" s="351">
        <v>0</v>
      </c>
      <c r="J36" s="351">
        <v>0</v>
      </c>
      <c r="K36" s="351">
        <v>0</v>
      </c>
      <c r="L36" s="351">
        <v>0</v>
      </c>
      <c r="M36" s="351">
        <v>0</v>
      </c>
      <c r="N36" s="90"/>
      <c r="O36" s="67"/>
      <c r="P36" s="67"/>
      <c r="Q36" s="67"/>
      <c r="R36" s="228"/>
      <c r="S36" s="94"/>
      <c r="T36" s="94"/>
    </row>
    <row r="37" spans="1:20" ht="24.95" customHeight="1">
      <c r="A37" s="189"/>
      <c r="B37" s="188"/>
      <c r="C37" s="85" t="s">
        <v>504</v>
      </c>
      <c r="D37" s="345">
        <f>资产负债表!C68</f>
        <v>131.30000000000001</v>
      </c>
      <c r="E37" s="345">
        <f>资产负债表!D68</f>
        <v>133.97</v>
      </c>
      <c r="F37" s="345">
        <f>资产负债表!E68</f>
        <v>144.09</v>
      </c>
      <c r="G37" s="345">
        <f>资产负债表!F68</f>
        <v>161.91</v>
      </c>
      <c r="H37" s="345">
        <f>资产负债表!G68</f>
        <v>193.41</v>
      </c>
      <c r="I37" s="345">
        <f>IS!I12/资产负债假设!J16</f>
        <v>201.55732891218062</v>
      </c>
      <c r="J37" s="345">
        <f>IS!J12/资产负债假设!K16</f>
        <v>237.19519866306445</v>
      </c>
      <c r="K37" s="345">
        <f>IS!K12/资产负债假设!L16</f>
        <v>287.38593242000843</v>
      </c>
      <c r="L37" s="345">
        <f>IS!L12/资产负债假设!M16</f>
        <v>353.98261417349636</v>
      </c>
      <c r="M37" s="345">
        <f>IS!M12/资产负债假设!N16</f>
        <v>444.01099487145541</v>
      </c>
      <c r="N37" s="90"/>
      <c r="O37" s="67"/>
      <c r="P37" s="67"/>
      <c r="Q37" s="67"/>
      <c r="R37" s="228"/>
    </row>
    <row r="38" spans="1:20" ht="24.95" customHeight="1">
      <c r="A38" s="189"/>
      <c r="B38" s="188"/>
      <c r="C38" s="85" t="s">
        <v>505</v>
      </c>
      <c r="D38" s="345">
        <f>资产负债表!C69</f>
        <v>6.94</v>
      </c>
      <c r="E38" s="345">
        <f>资产负债表!D69</f>
        <v>4.5999999999999996</v>
      </c>
      <c r="F38" s="345">
        <f>资产负债表!E69</f>
        <v>11.5</v>
      </c>
      <c r="G38" s="345">
        <f>资产负债表!F69</f>
        <v>22.63</v>
      </c>
      <c r="H38" s="345">
        <f>资产负债表!G69</f>
        <v>19.690000000000001</v>
      </c>
      <c r="I38" s="351">
        <f>H38*1.07</f>
        <v>21.068300000000004</v>
      </c>
      <c r="J38" s="351">
        <f t="shared" ref="J38:M38" si="11">I38*1.07</f>
        <v>22.543081000000004</v>
      </c>
      <c r="K38" s="351">
        <f t="shared" si="11"/>
        <v>24.121096670000007</v>
      </c>
      <c r="L38" s="351">
        <f t="shared" si="11"/>
        <v>25.80957343690001</v>
      </c>
      <c r="M38" s="351">
        <f t="shared" si="11"/>
        <v>27.616243577483012</v>
      </c>
      <c r="N38" s="90"/>
      <c r="O38" s="67"/>
      <c r="P38" s="67"/>
      <c r="Q38" s="67"/>
      <c r="R38" s="228"/>
    </row>
    <row r="39" spans="1:20" ht="24.6" customHeight="1">
      <c r="A39" s="189"/>
      <c r="B39" s="188"/>
      <c r="C39" s="85" t="s">
        <v>506</v>
      </c>
      <c r="D39" s="345">
        <f>资产负债表!C72</f>
        <v>50.71</v>
      </c>
      <c r="E39" s="345">
        <f>资产负债表!D72</f>
        <v>34.94</v>
      </c>
      <c r="F39" s="345">
        <f>资产负债表!E72</f>
        <v>35.909999999999997</v>
      </c>
      <c r="G39" s="345">
        <f>资产负债表!F72</f>
        <v>148.58000000000001</v>
      </c>
      <c r="H39" s="345">
        <f>资产负债表!G72</f>
        <v>87.12</v>
      </c>
      <c r="I39" s="351">
        <f>H39*(SUM(IS!I12:I15)-SUM(IS!I13:I13))/(SUM(IS!H12:H15)-SUM(IS!H13:H13))</f>
        <v>98.279437127421232</v>
      </c>
      <c r="J39" s="351">
        <f>I39*(SUM(IS!J12:J15)-SUM(IS!J13:J13))/(SUM(IS!I12:I15)-SUM(IS!I13:I13))</f>
        <v>116.24610248654052</v>
      </c>
      <c r="K39" s="351">
        <f>J39*(SUM(IS!K12:K15)-SUM(IS!K13:K13))/(SUM(IS!J12:J15)-SUM(IS!J13:J13))</f>
        <v>141.28435588944612</v>
      </c>
      <c r="L39" s="351">
        <f>K39*(SUM(IS!L12:L15)-SUM(IS!L13:L13))/(SUM(IS!K12:K15)-SUM(IS!K13:K13))</f>
        <v>174.53468699912187</v>
      </c>
      <c r="M39" s="351">
        <f>L39*(SUM(IS!M12:M15)-SUM(IS!M13:M13))/(SUM(IS!L12:L15)-SUM(IS!L13:L13))</f>
        <v>219.18742226304639</v>
      </c>
      <c r="N39" s="90"/>
      <c r="O39" s="67"/>
      <c r="P39" s="67"/>
      <c r="Q39" s="67"/>
      <c r="R39" s="228"/>
    </row>
    <row r="40" spans="1:20" ht="24.95" customHeight="1">
      <c r="A40" s="189"/>
      <c r="B40" s="188"/>
      <c r="C40" s="85" t="s">
        <v>507</v>
      </c>
      <c r="D40" s="345">
        <f>资产负债表!C73</f>
        <v>-11.95</v>
      </c>
      <c r="E40" s="345">
        <f>资产负债表!D73</f>
        <v>11.94</v>
      </c>
      <c r="F40" s="345">
        <f>资产负债表!E73</f>
        <v>20.49</v>
      </c>
      <c r="G40" s="345">
        <f>资产负债表!F73</f>
        <v>41.62</v>
      </c>
      <c r="H40" s="345">
        <f>资产负债表!G73</f>
        <v>60.9</v>
      </c>
      <c r="I40" s="351">
        <f>H40*(1+IS!I32)</f>
        <v>66.323988677919729</v>
      </c>
      <c r="J40" s="351">
        <f>I40*(1+IS!J32)</f>
        <v>78.201671547540457</v>
      </c>
      <c r="K40" s="351">
        <f>J40*(1+IS!K32)</f>
        <v>99.697080359258223</v>
      </c>
      <c r="L40" s="351">
        <f>K40*(1+IS!L32)</f>
        <v>128.30161787957886</v>
      </c>
      <c r="M40" s="351">
        <f>L40*(1+IS!M32)</f>
        <v>165.43864964528126</v>
      </c>
      <c r="N40" s="90"/>
      <c r="O40" s="67"/>
      <c r="P40" s="67"/>
      <c r="Q40" s="67"/>
      <c r="R40" s="228"/>
    </row>
    <row r="41" spans="1:20" ht="24.95" customHeight="1">
      <c r="A41" s="189"/>
      <c r="B41" s="188"/>
      <c r="C41" s="85" t="s">
        <v>508</v>
      </c>
      <c r="D41" s="345">
        <f>资产负债表!C74</f>
        <v>98.75</v>
      </c>
      <c r="E41" s="345">
        <f>资产负债表!D74</f>
        <v>89.1</v>
      </c>
      <c r="F41" s="345">
        <f>资产负债表!E74</f>
        <v>99.3</v>
      </c>
      <c r="G41" s="345">
        <f>资产负债表!F74</f>
        <v>115.01</v>
      </c>
      <c r="H41" s="345">
        <f>资产负债表!G74</f>
        <v>246.73</v>
      </c>
      <c r="I41" s="351">
        <f>H41*SUM(IS!I12:I15)/SUM(IS!H12:H15)</f>
        <v>278.28430484404515</v>
      </c>
      <c r="J41" s="351">
        <f>I41*SUM(IS!J12:J15)/SUM(IS!I12:I15)</f>
        <v>329.17080990293067</v>
      </c>
      <c r="K41" s="351">
        <f>J41*SUM(IS!K12:K15)/SUM(IS!J12:J15)</f>
        <v>400.1081497448813</v>
      </c>
      <c r="L41" s="351">
        <f>K41*SUM(IS!L12:L15)/SUM(IS!K12:K15)</f>
        <v>494.31069881693344</v>
      </c>
      <c r="M41" s="351">
        <f>L41*SUM(IS!M12:M15)/SUM(IS!L12:L15)</f>
        <v>620.81630204278031</v>
      </c>
      <c r="N41" s="90"/>
      <c r="O41" s="67"/>
      <c r="P41" s="67"/>
      <c r="Q41" s="67"/>
      <c r="R41" s="228"/>
    </row>
    <row r="42" spans="1:20" ht="24.95" customHeight="1">
      <c r="A42" s="190"/>
      <c r="B42" s="188"/>
      <c r="C42" s="85" t="s">
        <v>655</v>
      </c>
      <c r="D42" s="345">
        <f>资产负债表!C79</f>
        <v>128</v>
      </c>
      <c r="E42" s="345">
        <f>资产负债表!D79</f>
        <v>0</v>
      </c>
      <c r="F42" s="345">
        <f>资产负债表!E79</f>
        <v>100</v>
      </c>
      <c r="G42" s="345">
        <f>资产负债表!F79</f>
        <v>0</v>
      </c>
      <c r="H42" s="345">
        <f>资产负债表!G79</f>
        <v>70</v>
      </c>
      <c r="I42" s="351">
        <v>0</v>
      </c>
      <c r="J42" s="351">
        <v>0</v>
      </c>
      <c r="K42" s="351">
        <v>0</v>
      </c>
      <c r="L42" s="351">
        <v>0</v>
      </c>
      <c r="M42" s="351">
        <v>0</v>
      </c>
      <c r="N42" s="90"/>
      <c r="O42" s="67"/>
      <c r="P42" s="67"/>
      <c r="Q42" s="67"/>
      <c r="R42" s="228"/>
    </row>
    <row r="43" spans="1:20" ht="24.95" customHeight="1">
      <c r="A43" s="190"/>
      <c r="B43" s="188"/>
      <c r="C43" s="85" t="s">
        <v>509</v>
      </c>
      <c r="D43" s="345">
        <f>资产负债表!C83</f>
        <v>0</v>
      </c>
      <c r="E43" s="345">
        <f>资产负债表!D83</f>
        <v>0</v>
      </c>
      <c r="F43" s="345">
        <f>资产负债表!E83</f>
        <v>0</v>
      </c>
      <c r="G43" s="345">
        <f>资产负债表!F83</f>
        <v>0</v>
      </c>
      <c r="H43" s="345">
        <f>资产负债表!G83</f>
        <v>39.520000000000003</v>
      </c>
      <c r="I43" s="351">
        <v>0</v>
      </c>
      <c r="J43" s="351">
        <v>0</v>
      </c>
      <c r="K43" s="351">
        <v>0</v>
      </c>
      <c r="L43" s="351">
        <v>0</v>
      </c>
      <c r="M43" s="351">
        <v>0</v>
      </c>
      <c r="N43" s="90"/>
      <c r="O43" s="67"/>
      <c r="P43" s="67"/>
      <c r="Q43" s="67"/>
      <c r="R43" s="228"/>
    </row>
    <row r="44" spans="1:20" ht="24.95" customHeight="1">
      <c r="B44" s="188"/>
      <c r="C44" s="82" t="s">
        <v>510</v>
      </c>
      <c r="D44" s="352">
        <f>SUM(D34:D43)</f>
        <v>403.75</v>
      </c>
      <c r="E44" s="352">
        <f t="shared" ref="E44:H44" si="12">SUM(E34:E43)</f>
        <v>364.54999999999995</v>
      </c>
      <c r="F44" s="352">
        <f t="shared" si="12"/>
        <v>759.65</v>
      </c>
      <c r="G44" s="352">
        <f t="shared" si="12"/>
        <v>779.33</v>
      </c>
      <c r="H44" s="352">
        <f t="shared" si="12"/>
        <v>976.99999999999989</v>
      </c>
      <c r="I44" s="352">
        <f>SUM(I34:I43)</f>
        <v>706.91489727639782</v>
      </c>
      <c r="J44" s="352">
        <f t="shared" ref="J44:M44" si="13">SUM(J34:J43)</f>
        <v>832.46238120189582</v>
      </c>
      <c r="K44" s="352">
        <f t="shared" si="13"/>
        <v>1012.6729710456766</v>
      </c>
      <c r="L44" s="352">
        <f t="shared" si="13"/>
        <v>1251.5750006753919</v>
      </c>
      <c r="M44" s="352">
        <f t="shared" si="13"/>
        <v>1571.2423184930824</v>
      </c>
      <c r="N44" s="93"/>
      <c r="O44" s="83">
        <f>SUM(O34:O34)</f>
        <v>0</v>
      </c>
      <c r="P44" s="83">
        <f>SUM(P34:P34)</f>
        <v>0</v>
      </c>
      <c r="Q44" s="83">
        <f>SUM(Q34:Q34)</f>
        <v>0</v>
      </c>
      <c r="R44" s="228"/>
    </row>
    <row r="45" spans="1:20" ht="24.95" customHeight="1">
      <c r="A45" s="194"/>
      <c r="B45" s="188"/>
      <c r="C45" s="85" t="s">
        <v>511</v>
      </c>
      <c r="D45" s="345">
        <f>资产负债表!C89</f>
        <v>0</v>
      </c>
      <c r="E45" s="345">
        <f>资产负债表!D89</f>
        <v>100</v>
      </c>
      <c r="F45" s="345">
        <f>资产负债表!E89</f>
        <v>0</v>
      </c>
      <c r="G45" s="345">
        <f>资产负债表!F89</f>
        <v>70</v>
      </c>
      <c r="H45" s="345">
        <f>资产负债表!G89</f>
        <v>0</v>
      </c>
      <c r="I45" s="345">
        <f>CS!J59</f>
        <v>0</v>
      </c>
      <c r="J45" s="345">
        <f>CS!K59</f>
        <v>0</v>
      </c>
      <c r="K45" s="345">
        <f>CS!L59</f>
        <v>0</v>
      </c>
      <c r="L45" s="345">
        <f>CS!M59</f>
        <v>0</v>
      </c>
      <c r="M45" s="345">
        <f>CS!N59</f>
        <v>0</v>
      </c>
      <c r="N45" s="90"/>
      <c r="O45" s="67"/>
      <c r="P45" s="67"/>
      <c r="Q45" s="67"/>
      <c r="R45" s="228"/>
    </row>
    <row r="46" spans="1:20" ht="24.95" customHeight="1">
      <c r="A46" s="189"/>
      <c r="B46" s="188"/>
      <c r="C46" s="85" t="s">
        <v>656</v>
      </c>
      <c r="D46" s="345">
        <f>资产负债表!C92</f>
        <v>62.25</v>
      </c>
      <c r="E46" s="345">
        <f>资产负债表!D92</f>
        <v>0</v>
      </c>
      <c r="F46" s="345">
        <f>资产负债表!E92</f>
        <v>0</v>
      </c>
      <c r="G46" s="345">
        <f>资产负债表!F92</f>
        <v>0</v>
      </c>
      <c r="H46" s="345">
        <f>资产负债表!G92</f>
        <v>0</v>
      </c>
      <c r="I46" s="351">
        <v>0</v>
      </c>
      <c r="J46" s="351">
        <v>0</v>
      </c>
      <c r="K46" s="351">
        <v>0</v>
      </c>
      <c r="L46" s="351">
        <v>0</v>
      </c>
      <c r="M46" s="351">
        <v>0</v>
      </c>
      <c r="N46" s="90"/>
      <c r="O46" s="67"/>
      <c r="P46" s="67"/>
      <c r="Q46" s="67"/>
      <c r="R46" s="228"/>
    </row>
    <row r="47" spans="1:20" ht="24.95" customHeight="1">
      <c r="A47" s="189"/>
      <c r="B47" s="188"/>
      <c r="C47" s="85" t="s">
        <v>712</v>
      </c>
      <c r="D47" s="345">
        <f>资产负债表!C95</f>
        <v>45.22</v>
      </c>
      <c r="E47" s="345">
        <f>资产负债表!D95</f>
        <v>45.27</v>
      </c>
      <c r="F47" s="345">
        <f>资产负债表!E95</f>
        <v>44.49</v>
      </c>
      <c r="G47" s="345">
        <f>资产负债表!F95</f>
        <v>31.14</v>
      </c>
      <c r="H47" s="345">
        <f>资产负债表!G95</f>
        <v>26.09</v>
      </c>
      <c r="I47" s="351">
        <f>H47*(SUM(IS!I12:I15)-SUM(IS!I13:I13))/(SUM(IS!H12:H15)-SUM(IS!H13:H13))</f>
        <v>29.431938873443752</v>
      </c>
      <c r="J47" s="351">
        <f>I47*(SUM(IS!J12:J15)-SUM(IS!J13:J13))/(SUM(IS!I12:I15)-SUM(IS!I13:I13))</f>
        <v>34.812451949883396</v>
      </c>
      <c r="K47" s="351">
        <f>J47*(SUM(IS!K12:K15)-SUM(IS!K13:K13))/(SUM(IS!J12:J15)-SUM(IS!J13:J13))</f>
        <v>42.310707589022591</v>
      </c>
      <c r="L47" s="351">
        <f>K47*(SUM(IS!L12:L15)-SUM(IS!L13:L13))/(SUM(IS!K12:K15)-SUM(IS!K13:K13))</f>
        <v>52.268250502836189</v>
      </c>
      <c r="M47" s="351">
        <f>L47*(SUM(IS!M12:M15)-SUM(IS!M13:M13))/(SUM(IS!L12:L15)-SUM(IS!L13:L13))</f>
        <v>65.640494109766763</v>
      </c>
      <c r="N47" s="90"/>
      <c r="O47" s="67"/>
      <c r="P47" s="67"/>
      <c r="Q47" s="67"/>
      <c r="R47" s="228"/>
    </row>
    <row r="48" spans="1:20" ht="24.95" customHeight="1">
      <c r="A48" s="190"/>
      <c r="B48" s="188"/>
      <c r="C48" s="85" t="s">
        <v>512</v>
      </c>
      <c r="D48" s="345">
        <f>资产负债表!C96</f>
        <v>0.21</v>
      </c>
      <c r="E48" s="345">
        <f>资产负债表!D96</f>
        <v>0.2</v>
      </c>
      <c r="F48" s="345">
        <f>资产负债表!E96</f>
        <v>15.63</v>
      </c>
      <c r="G48" s="345">
        <f>资产负债表!F96</f>
        <v>14.08</v>
      </c>
      <c r="H48" s="345">
        <f>资产负债表!G96</f>
        <v>10.47</v>
      </c>
      <c r="I48" s="351">
        <f>AVERAGE(F48:H48)</f>
        <v>13.393333333333333</v>
      </c>
      <c r="J48" s="351">
        <f>I48*1.1</f>
        <v>14.732666666666667</v>
      </c>
      <c r="K48" s="351">
        <f t="shared" ref="K48:M48" si="14">J48*1.1</f>
        <v>16.205933333333334</v>
      </c>
      <c r="L48" s="351">
        <f t="shared" si="14"/>
        <v>17.82652666666667</v>
      </c>
      <c r="M48" s="351">
        <f t="shared" si="14"/>
        <v>19.609179333333337</v>
      </c>
      <c r="N48" s="90"/>
      <c r="O48" s="67"/>
      <c r="P48" s="67"/>
      <c r="Q48" s="67"/>
      <c r="R48" s="228"/>
    </row>
    <row r="49" spans="1:18" ht="24.95" customHeight="1">
      <c r="A49" s="186"/>
      <c r="B49" s="188"/>
      <c r="C49" s="85" t="s">
        <v>657</v>
      </c>
      <c r="D49" s="345">
        <f>资产负债表!C97</f>
        <v>0.47</v>
      </c>
      <c r="E49" s="345">
        <f>资产负债表!D97</f>
        <v>0.44</v>
      </c>
      <c r="F49" s="345">
        <f>资产负债表!E97</f>
        <v>12.25</v>
      </c>
      <c r="G49" s="345">
        <f>资产负债表!F97</f>
        <v>11.37</v>
      </c>
      <c r="H49" s="345">
        <f>资产负债表!G97</f>
        <v>9.61</v>
      </c>
      <c r="I49" s="351">
        <f>AVERAGE(F49:H49)</f>
        <v>11.076666666666666</v>
      </c>
      <c r="J49" s="351">
        <f>I49*1.1</f>
        <v>12.184333333333333</v>
      </c>
      <c r="K49" s="351">
        <f t="shared" ref="K49:M49" si="15">J49*1.1</f>
        <v>13.402766666666668</v>
      </c>
      <c r="L49" s="351">
        <f t="shared" si="15"/>
        <v>14.743043333333336</v>
      </c>
      <c r="M49" s="351">
        <f t="shared" si="15"/>
        <v>16.217347666666672</v>
      </c>
      <c r="N49" s="90"/>
      <c r="O49" s="67"/>
      <c r="P49" s="67"/>
      <c r="Q49" s="67"/>
      <c r="R49" s="228"/>
    </row>
    <row r="50" spans="1:18" ht="24.95" customHeight="1">
      <c r="A50" s="190"/>
      <c r="B50" s="188"/>
      <c r="C50" s="85" t="s">
        <v>711</v>
      </c>
      <c r="D50" s="345">
        <f>资产负债表!C98</f>
        <v>11.14</v>
      </c>
      <c r="E50" s="345">
        <f>资产负债表!D98</f>
        <v>22.67</v>
      </c>
      <c r="F50" s="345">
        <f>资产负债表!E98</f>
        <v>35.83</v>
      </c>
      <c r="G50" s="345">
        <f>资产负债表!F98</f>
        <v>33.08</v>
      </c>
      <c r="H50" s="345">
        <f>资产负债表!G98</f>
        <v>27.31</v>
      </c>
      <c r="I50" s="351">
        <f>AVERAGE(F50:H50)</f>
        <v>32.073333333333331</v>
      </c>
      <c r="J50" s="351">
        <f>I50*1.1</f>
        <v>35.280666666666669</v>
      </c>
      <c r="K50" s="351">
        <f t="shared" ref="K50:M50" si="16">J50*1.1</f>
        <v>38.808733333333336</v>
      </c>
      <c r="L50" s="351">
        <f t="shared" si="16"/>
        <v>42.68960666666667</v>
      </c>
      <c r="M50" s="351">
        <f t="shared" si="16"/>
        <v>46.958567333333342</v>
      </c>
      <c r="N50" s="90"/>
      <c r="O50" s="67"/>
      <c r="P50" s="67"/>
      <c r="Q50" s="67"/>
      <c r="R50" s="228"/>
    </row>
    <row r="51" spans="1:18" ht="24.95" customHeight="1">
      <c r="B51" s="188"/>
      <c r="C51" s="82" t="s">
        <v>513</v>
      </c>
      <c r="D51" s="352">
        <f>SUM(D45:D50)</f>
        <v>119.28999999999999</v>
      </c>
      <c r="E51" s="352">
        <f t="shared" ref="E51:M51" si="17">SUM(E45:E50)</f>
        <v>168.57999999999998</v>
      </c>
      <c r="F51" s="352">
        <f t="shared" si="17"/>
        <v>108.2</v>
      </c>
      <c r="G51" s="352">
        <f t="shared" si="17"/>
        <v>159.67000000000002</v>
      </c>
      <c r="H51" s="352">
        <f t="shared" si="17"/>
        <v>73.48</v>
      </c>
      <c r="I51" s="352">
        <f t="shared" si="17"/>
        <v>85.975272206777078</v>
      </c>
      <c r="J51" s="352">
        <f t="shared" si="17"/>
        <v>97.010118616550074</v>
      </c>
      <c r="K51" s="352">
        <f t="shared" si="17"/>
        <v>110.72814092235593</v>
      </c>
      <c r="L51" s="352">
        <f t="shared" si="17"/>
        <v>127.52742716950286</v>
      </c>
      <c r="M51" s="352">
        <f t="shared" si="17"/>
        <v>148.42558844310011</v>
      </c>
      <c r="N51" s="93"/>
      <c r="O51" s="83">
        <f>SUM(O45:O45)</f>
        <v>0</v>
      </c>
      <c r="P51" s="83">
        <f>SUM(P45:P45)</f>
        <v>0</v>
      </c>
      <c r="Q51" s="83">
        <f>SUM(Q45:Q45)</f>
        <v>0</v>
      </c>
      <c r="R51" s="228"/>
    </row>
    <row r="52" spans="1:18" ht="24.95" customHeight="1">
      <c r="B52" s="188"/>
      <c r="C52" s="82" t="s">
        <v>514</v>
      </c>
      <c r="D52" s="352">
        <f t="shared" ref="D52:M52" si="18">D51+D44</f>
        <v>523.04</v>
      </c>
      <c r="E52" s="352">
        <f t="shared" si="18"/>
        <v>533.12999999999988</v>
      </c>
      <c r="F52" s="352">
        <f t="shared" si="18"/>
        <v>867.85</v>
      </c>
      <c r="G52" s="352">
        <f t="shared" si="18"/>
        <v>939</v>
      </c>
      <c r="H52" s="352">
        <f t="shared" si="18"/>
        <v>1050.4799999999998</v>
      </c>
      <c r="I52" s="352">
        <f t="shared" si="18"/>
        <v>792.89016948317487</v>
      </c>
      <c r="J52" s="352">
        <f t="shared" si="18"/>
        <v>929.47249981844584</v>
      </c>
      <c r="K52" s="352">
        <f t="shared" si="18"/>
        <v>1123.4011119680326</v>
      </c>
      <c r="L52" s="352">
        <f t="shared" si="18"/>
        <v>1379.1024278448949</v>
      </c>
      <c r="M52" s="352">
        <f t="shared" si="18"/>
        <v>1719.6679069361826</v>
      </c>
      <c r="N52" s="93"/>
      <c r="O52" s="83">
        <f>O51+O44</f>
        <v>0</v>
      </c>
      <c r="P52" s="83">
        <f>P51+P44</f>
        <v>0</v>
      </c>
      <c r="Q52" s="83">
        <f>Q51+Q44</f>
        <v>0</v>
      </c>
      <c r="R52" s="228"/>
    </row>
    <row r="53" spans="1:18" ht="24.95" customHeight="1">
      <c r="B53" s="188"/>
      <c r="C53" s="82" t="s">
        <v>515</v>
      </c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93"/>
      <c r="O53" s="83"/>
      <c r="P53" s="83"/>
      <c r="Q53" s="83"/>
      <c r="R53" s="228"/>
    </row>
    <row r="54" spans="1:18" ht="24.95" customHeight="1">
      <c r="B54" s="188"/>
      <c r="C54" s="85" t="s">
        <v>516</v>
      </c>
      <c r="D54" s="345">
        <f>资产负债表!C107</f>
        <v>956</v>
      </c>
      <c r="E54" s="345">
        <f>资产负债表!D107</f>
        <v>956</v>
      </c>
      <c r="F54" s="345">
        <f>资产负债表!E107</f>
        <v>956</v>
      </c>
      <c r="G54" s="345">
        <f>资产负债表!F107</f>
        <v>1044.8599999999999</v>
      </c>
      <c r="H54" s="345">
        <f>资产负债表!G107</f>
        <v>1358.32</v>
      </c>
      <c r="I54" s="345">
        <f>资产负债假设!J25</f>
        <v>1358.32</v>
      </c>
      <c r="J54" s="345">
        <f>资产负债假设!K25</f>
        <v>1358.32</v>
      </c>
      <c r="K54" s="345">
        <f>资产负债假设!L25</f>
        <v>1358.32</v>
      </c>
      <c r="L54" s="345">
        <f>资产负债假设!M25</f>
        <v>1358.32</v>
      </c>
      <c r="M54" s="345">
        <f>资产负债假设!N25</f>
        <v>1358.32</v>
      </c>
      <c r="N54" s="90"/>
      <c r="O54" s="67"/>
      <c r="P54" s="67"/>
      <c r="Q54" s="67"/>
      <c r="R54" s="228"/>
    </row>
    <row r="55" spans="1:18" ht="24.95" customHeight="1">
      <c r="B55" s="188"/>
      <c r="C55" s="86" t="s">
        <v>517</v>
      </c>
      <c r="D55" s="345">
        <f>D57-D54-D56</f>
        <v>884.03</v>
      </c>
      <c r="E55" s="345">
        <f t="shared" ref="E55:H55" si="19">E57-E54-E56</f>
        <v>963.08999999999992</v>
      </c>
      <c r="F55" s="345">
        <f t="shared" si="19"/>
        <v>1049.6299999999999</v>
      </c>
      <c r="G55" s="345">
        <f t="shared" si="19"/>
        <v>2148.65</v>
      </c>
      <c r="H55" s="345">
        <f t="shared" si="19"/>
        <v>1934.12</v>
      </c>
      <c r="I55" s="345">
        <f>资产负债假设!J40</f>
        <v>2028.7808593071861</v>
      </c>
      <c r="J55" s="345">
        <f>资产负债假设!K40</f>
        <v>2140.3068632835016</v>
      </c>
      <c r="K55" s="345">
        <f>资产负债假设!L40</f>
        <v>2282.3128144995053</v>
      </c>
      <c r="L55" s="345">
        <f>资产负债假设!M40</f>
        <v>2464.8636552507323</v>
      </c>
      <c r="M55" s="345">
        <f>资产负债假设!N40</f>
        <v>2700.0389501180689</v>
      </c>
      <c r="N55" s="90"/>
      <c r="O55" s="67"/>
      <c r="P55" s="67"/>
      <c r="Q55" s="67"/>
      <c r="R55" s="228"/>
    </row>
    <row r="56" spans="1:18" ht="24.95" customHeight="1">
      <c r="B56" s="188"/>
      <c r="C56" s="85" t="s">
        <v>518</v>
      </c>
      <c r="D56" s="345">
        <f>资产负债表!C123</f>
        <v>10.23</v>
      </c>
      <c r="E56" s="345">
        <f>资产负债表!D123</f>
        <v>11.98</v>
      </c>
      <c r="F56" s="345">
        <f>资产负债表!E123</f>
        <v>21.38</v>
      </c>
      <c r="G56" s="345">
        <f>资产负债表!F123</f>
        <v>37.020000000000003</v>
      </c>
      <c r="H56" s="345">
        <f>资产负债表!G123</f>
        <v>33.53</v>
      </c>
      <c r="I56" s="345">
        <f>H56+IS!I39</f>
        <v>31.93</v>
      </c>
      <c r="J56" s="345">
        <f>I56+IS!J39</f>
        <v>30.218</v>
      </c>
      <c r="K56" s="345">
        <f>J56+IS!K39</f>
        <v>28.38616</v>
      </c>
      <c r="L56" s="345">
        <f>K56+IS!L39</f>
        <v>26.426091199999998</v>
      </c>
      <c r="M56" s="345">
        <f>L56+IS!M39</f>
        <v>24.328817583999999</v>
      </c>
      <c r="N56" s="90"/>
      <c r="O56" s="67"/>
      <c r="P56" s="67"/>
      <c r="Q56" s="67"/>
      <c r="R56" s="228"/>
    </row>
    <row r="57" spans="1:18" ht="24.95" customHeight="1">
      <c r="B57" s="188"/>
      <c r="C57" s="82" t="s">
        <v>519</v>
      </c>
      <c r="D57" s="352">
        <f>资产负债表!C124</f>
        <v>1850.26</v>
      </c>
      <c r="E57" s="352">
        <f>资产负债表!D124</f>
        <v>1931.07</v>
      </c>
      <c r="F57" s="352">
        <f>资产负债表!E124</f>
        <v>2027.01</v>
      </c>
      <c r="G57" s="352">
        <f>资产负债表!F124</f>
        <v>3230.53</v>
      </c>
      <c r="H57" s="352">
        <f>资产负债表!G124</f>
        <v>3325.97</v>
      </c>
      <c r="I57" s="352">
        <f>I54+I55+I56</f>
        <v>3419.0308593071859</v>
      </c>
      <c r="J57" s="352">
        <f t="shared" ref="J57:M57" si="20">J54+J55+J56</f>
        <v>3528.8448632835016</v>
      </c>
      <c r="K57" s="352">
        <f t="shared" si="20"/>
        <v>3669.018974499505</v>
      </c>
      <c r="L57" s="352">
        <f t="shared" si="20"/>
        <v>3849.609746450732</v>
      </c>
      <c r="M57" s="352">
        <f t="shared" si="20"/>
        <v>4082.6877677020684</v>
      </c>
      <c r="N57" s="93" t="s">
        <v>392</v>
      </c>
      <c r="O57" s="83"/>
      <c r="P57" s="83"/>
      <c r="Q57" s="83"/>
      <c r="R57" s="228" t="s">
        <v>392</v>
      </c>
    </row>
    <row r="58" spans="1:18" ht="24.95" customHeight="1">
      <c r="B58" s="188"/>
      <c r="C58" s="82" t="s">
        <v>520</v>
      </c>
      <c r="D58" s="352">
        <f>D52+D57</f>
        <v>2373.3000000000002</v>
      </c>
      <c r="E58" s="352">
        <f t="shared" ref="E58:H58" si="21">E52+E57</f>
        <v>2464.1999999999998</v>
      </c>
      <c r="F58" s="352">
        <f t="shared" si="21"/>
        <v>2894.86</v>
      </c>
      <c r="G58" s="352">
        <f t="shared" si="21"/>
        <v>4169.5300000000007</v>
      </c>
      <c r="H58" s="352">
        <f t="shared" si="21"/>
        <v>4376.45</v>
      </c>
      <c r="I58" s="352">
        <f>I52+I57</f>
        <v>4211.9210287903607</v>
      </c>
      <c r="J58" s="352">
        <f t="shared" ref="J58:M58" si="22">J52+J57</f>
        <v>4458.3173631019472</v>
      </c>
      <c r="K58" s="352">
        <f t="shared" si="22"/>
        <v>4792.4200864675377</v>
      </c>
      <c r="L58" s="352">
        <f t="shared" si="22"/>
        <v>5228.7121742956269</v>
      </c>
      <c r="M58" s="352">
        <f t="shared" si="22"/>
        <v>5802.355674638251</v>
      </c>
      <c r="N58" s="93" t="s">
        <v>392</v>
      </c>
      <c r="O58" s="83"/>
      <c r="P58" s="83"/>
      <c r="Q58" s="83"/>
      <c r="R58" s="228" t="s">
        <v>392</v>
      </c>
    </row>
    <row r="59" spans="1:18" ht="24.95" customHeight="1">
      <c r="B59" s="188"/>
      <c r="C59" s="85" t="s">
        <v>521</v>
      </c>
      <c r="D59" s="345">
        <f t="shared" ref="D59:M59" si="23">D58-D32</f>
        <v>1.0000000000218279E-2</v>
      </c>
      <c r="E59" s="345">
        <f t="shared" si="23"/>
        <v>0</v>
      </c>
      <c r="F59" s="345">
        <f t="shared" si="23"/>
        <v>0</v>
      </c>
      <c r="G59" s="345">
        <f t="shared" si="23"/>
        <v>0</v>
      </c>
      <c r="H59" s="345">
        <f t="shared" si="23"/>
        <v>0</v>
      </c>
      <c r="I59" s="345">
        <f t="shared" si="23"/>
        <v>0</v>
      </c>
      <c r="J59" s="345">
        <f t="shared" si="23"/>
        <v>0</v>
      </c>
      <c r="K59" s="345">
        <f t="shared" si="23"/>
        <v>0</v>
      </c>
      <c r="L59" s="345">
        <f t="shared" si="23"/>
        <v>0</v>
      </c>
      <c r="M59" s="345">
        <f t="shared" si="23"/>
        <v>0</v>
      </c>
      <c r="N59" s="90"/>
      <c r="O59" s="67">
        <f>O58-O32</f>
        <v>0</v>
      </c>
      <c r="P59" s="67">
        <f>P58-P32</f>
        <v>0</v>
      </c>
      <c r="Q59" s="67">
        <f>Q58-Q32</f>
        <v>0</v>
      </c>
      <c r="R59" s="228"/>
    </row>
    <row r="60" spans="1:18" ht="24.95" customHeight="1">
      <c r="B60" s="188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3"/>
      <c r="N60" s="90"/>
      <c r="O60" s="67"/>
      <c r="P60" s="67"/>
      <c r="Q60" s="67"/>
      <c r="R60" s="228"/>
    </row>
    <row r="61" spans="1:18" ht="24.95" customHeight="1">
      <c r="B61" s="188"/>
      <c r="C61" s="444"/>
      <c r="D61" s="445"/>
      <c r="E61" s="445"/>
      <c r="F61" s="445"/>
      <c r="G61" s="445"/>
      <c r="H61" s="445"/>
      <c r="I61" s="445"/>
      <c r="J61" s="445"/>
      <c r="K61" s="445"/>
      <c r="L61" s="445"/>
      <c r="M61" s="446"/>
      <c r="N61" s="90"/>
      <c r="O61" s="67"/>
      <c r="P61" s="67"/>
      <c r="Q61" s="67"/>
      <c r="R61" s="228"/>
    </row>
    <row r="62" spans="1:18" ht="24.95" customHeight="1">
      <c r="B62" s="188"/>
      <c r="C62" s="22" t="s">
        <v>522</v>
      </c>
      <c r="D62" s="88">
        <f t="shared" ref="D62:M62" si="24">(D17-D8)-(D44-D34)</f>
        <v>512.67999999999995</v>
      </c>
      <c r="E62" s="343">
        <f t="shared" si="24"/>
        <v>674.04000000000008</v>
      </c>
      <c r="F62" s="343">
        <f t="shared" si="24"/>
        <v>574.57000000000005</v>
      </c>
      <c r="G62" s="343">
        <f t="shared" si="24"/>
        <v>1367.96</v>
      </c>
      <c r="H62" s="343">
        <f t="shared" si="24"/>
        <v>1148.1100000000001</v>
      </c>
      <c r="I62" s="343">
        <f t="shared" si="24"/>
        <v>1360.9133781076152</v>
      </c>
      <c r="J62" s="343">
        <f t="shared" si="24"/>
        <v>1444.0859910535428</v>
      </c>
      <c r="K62" s="343">
        <f t="shared" si="24"/>
        <v>1557.7599810953911</v>
      </c>
      <c r="L62" s="343">
        <f t="shared" si="24"/>
        <v>1708.3367062826869</v>
      </c>
      <c r="M62" s="343">
        <f t="shared" si="24"/>
        <v>1914.0059808750034</v>
      </c>
      <c r="N62" s="90"/>
      <c r="O62" s="88">
        <f>(O17-O8)-(O44-O34)</f>
        <v>0</v>
      </c>
      <c r="P62" s="88">
        <f>(P17-P8)-(P44-P34)</f>
        <v>0</v>
      </c>
      <c r="Q62" s="88">
        <f>(Q17-Q8)-(Q44-Q34)</f>
        <v>0</v>
      </c>
      <c r="R62" s="228"/>
    </row>
    <row r="63" spans="1:18" ht="24.95" customHeight="1">
      <c r="B63" s="188"/>
      <c r="C63" s="22" t="s">
        <v>523</v>
      </c>
      <c r="D63" s="89">
        <f>D52/D58</f>
        <v>0.22038511776850794</v>
      </c>
      <c r="E63" s="89">
        <f t="shared" ref="E63:M63" si="25">E52/E58</f>
        <v>0.21635013391770144</v>
      </c>
      <c r="F63" s="89">
        <f t="shared" si="25"/>
        <v>0.29978997257207601</v>
      </c>
      <c r="G63" s="89">
        <f t="shared" si="25"/>
        <v>0.22520523895978681</v>
      </c>
      <c r="H63" s="89">
        <f t="shared" si="25"/>
        <v>0.24003016143221101</v>
      </c>
      <c r="I63" s="89">
        <f t="shared" si="25"/>
        <v>0.18824905881744139</v>
      </c>
      <c r="J63" s="89">
        <f t="shared" si="25"/>
        <v>0.20848055984326566</v>
      </c>
      <c r="K63" s="89">
        <f t="shared" si="25"/>
        <v>0.23441206983089924</v>
      </c>
      <c r="L63" s="89">
        <f t="shared" si="25"/>
        <v>0.26375565949576818</v>
      </c>
      <c r="M63" s="89">
        <f t="shared" si="25"/>
        <v>0.29637409413779098</v>
      </c>
      <c r="N63" s="90"/>
      <c r="O63" s="89" t="e">
        <f>O52/O58</f>
        <v>#DIV/0!</v>
      </c>
      <c r="P63" s="89" t="e">
        <f>P52/P58</f>
        <v>#DIV/0!</v>
      </c>
      <c r="Q63" s="89" t="e">
        <f>Q52/Q58</f>
        <v>#DIV/0!</v>
      </c>
      <c r="R63" s="228"/>
    </row>
    <row r="64" spans="1:18" ht="6" customHeight="1">
      <c r="B64" s="188"/>
      <c r="C64" s="236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90"/>
      <c r="O64" s="90"/>
      <c r="P64" s="90"/>
      <c r="Q64" s="90"/>
      <c r="R64" s="228"/>
    </row>
    <row r="65" spans="4:18"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4:18"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4:18"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>
        <f t="shared" ref="N67:Q67" si="26">N59-M59</f>
        <v>0</v>
      </c>
      <c r="O67" s="91">
        <f t="shared" si="26"/>
        <v>0</v>
      </c>
      <c r="P67" s="91">
        <f t="shared" si="26"/>
        <v>0</v>
      </c>
      <c r="Q67" s="91">
        <f t="shared" si="26"/>
        <v>0</v>
      </c>
      <c r="R67" s="91"/>
    </row>
    <row r="69" spans="4:18">
      <c r="D69" s="95"/>
      <c r="E69" s="95"/>
      <c r="F69" s="95"/>
      <c r="G69" s="95"/>
      <c r="H69" s="95"/>
      <c r="I69" s="95"/>
      <c r="O69" s="95"/>
      <c r="P69" s="95"/>
      <c r="Q69" s="95"/>
    </row>
  </sheetData>
  <mergeCells count="2">
    <mergeCell ref="C60:M60"/>
    <mergeCell ref="C61:M61"/>
  </mergeCells>
  <phoneticPr fontId="39" type="noConversion"/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B1:T80"/>
  <sheetViews>
    <sheetView showGridLines="0" zoomScale="85" zoomScaleNormal="85" workbookViewId="0">
      <pane xSplit="4" ySplit="6" topLeftCell="E7" activePane="bottomRight" state="frozen"/>
      <selection pane="topRight"/>
      <selection pane="bottomLeft"/>
      <selection pane="bottomRight" activeCell="J80" sqref="J80"/>
    </sheetView>
  </sheetViews>
  <sheetFormatPr defaultColWidth="8.875" defaultRowHeight="13.5"/>
  <cols>
    <col min="1" max="1" width="4.125" style="60" customWidth="1"/>
    <col min="2" max="2" width="0.875" style="61" customWidth="1"/>
    <col min="3" max="3" width="8.875" style="61"/>
    <col min="4" max="4" width="37.125" style="61" customWidth="1"/>
    <col min="5" max="14" width="13.875" style="60" customWidth="1"/>
    <col min="15" max="15" width="0.5" style="60" hidden="1" customWidth="1"/>
    <col min="16" max="16" width="14.625" style="60" hidden="1" customWidth="1"/>
    <col min="17" max="17" width="13.875" style="60" hidden="1" customWidth="1"/>
    <col min="18" max="18" width="13.25" style="60" hidden="1" customWidth="1"/>
    <col min="19" max="19" width="0.875" style="60" customWidth="1"/>
    <col min="20" max="16384" width="8.875" style="60"/>
  </cols>
  <sheetData>
    <row r="1" spans="2:20" s="233" customFormat="1" ht="12" customHeight="1">
      <c r="B1" s="249"/>
      <c r="C1" s="249"/>
      <c r="D1" s="249"/>
    </row>
    <row r="2" spans="2:20" s="229" customFormat="1" ht="12" customHeight="1">
      <c r="C2" s="250"/>
      <c r="J2" s="216"/>
    </row>
    <row r="3" spans="2:20" s="229" customFormat="1" ht="12" customHeight="1">
      <c r="C3" s="251"/>
      <c r="D3" s="231"/>
      <c r="E3" s="231"/>
      <c r="F3" s="231"/>
      <c r="G3" s="231"/>
      <c r="H3" s="231"/>
      <c r="I3" s="231"/>
      <c r="J3" s="231"/>
      <c r="K3" s="232"/>
      <c r="L3" s="232"/>
      <c r="M3" s="232"/>
      <c r="N3" s="238"/>
      <c r="O3" s="232"/>
      <c r="P3" s="231"/>
      <c r="Q3" s="231"/>
      <c r="R3" s="231"/>
      <c r="S3" s="232"/>
      <c r="T3" s="232"/>
    </row>
    <row r="4" spans="2:20" s="58" customFormat="1" ht="15.6" customHeight="1">
      <c r="C4" s="62"/>
      <c r="D4" s="63"/>
      <c r="E4" s="63"/>
      <c r="F4" s="63"/>
      <c r="G4" s="63"/>
      <c r="H4" s="63"/>
      <c r="I4" s="63"/>
      <c r="J4" s="63"/>
      <c r="K4" s="70"/>
      <c r="L4" s="70"/>
      <c r="M4" s="70"/>
      <c r="N4" s="70"/>
      <c r="O4" s="70"/>
      <c r="P4" s="63"/>
      <c r="Q4" s="63"/>
      <c r="R4" s="63"/>
      <c r="S4" s="70"/>
      <c r="T4" s="70"/>
    </row>
    <row r="5" spans="2:20" s="58" customFormat="1" ht="6" customHeight="1">
      <c r="B5" s="229"/>
      <c r="C5" s="251"/>
      <c r="D5" s="231"/>
      <c r="E5" s="231"/>
      <c r="F5" s="231"/>
      <c r="G5" s="231"/>
      <c r="H5" s="231"/>
      <c r="I5" s="231"/>
      <c r="J5" s="231"/>
      <c r="K5" s="232"/>
      <c r="L5" s="232"/>
      <c r="M5" s="232"/>
      <c r="N5" s="232"/>
      <c r="O5" s="232"/>
      <c r="P5" s="231"/>
      <c r="Q5" s="231"/>
      <c r="R5" s="231"/>
      <c r="S5" s="232"/>
      <c r="T5" s="70"/>
    </row>
    <row r="6" spans="2:20" s="59" customFormat="1" ht="24.95" customHeight="1">
      <c r="B6" s="249"/>
      <c r="C6" s="239" t="s">
        <v>708</v>
      </c>
      <c r="D6" s="239"/>
      <c r="E6" s="240">
        <v>2014</v>
      </c>
      <c r="F6" s="240">
        <v>2015</v>
      </c>
      <c r="G6" s="240">
        <v>2016</v>
      </c>
      <c r="H6" s="240">
        <v>2017</v>
      </c>
      <c r="I6" s="240">
        <v>2018</v>
      </c>
      <c r="J6" s="241" t="s">
        <v>24</v>
      </c>
      <c r="K6" s="241" t="s">
        <v>25</v>
      </c>
      <c r="L6" s="241" t="s">
        <v>26</v>
      </c>
      <c r="M6" s="241" t="s">
        <v>27</v>
      </c>
      <c r="N6" s="241" t="s">
        <v>28</v>
      </c>
      <c r="O6" s="71"/>
      <c r="P6" s="72" t="s">
        <v>477</v>
      </c>
      <c r="Q6" s="72" t="s">
        <v>478</v>
      </c>
      <c r="R6" s="72" t="s">
        <v>479</v>
      </c>
      <c r="S6" s="252"/>
    </row>
    <row r="7" spans="2:20" ht="24.95" customHeight="1">
      <c r="B7" s="249"/>
      <c r="C7" s="65" t="s">
        <v>524</v>
      </c>
      <c r="D7" s="66"/>
      <c r="E7" s="66"/>
      <c r="F7" s="66"/>
      <c r="G7" s="66"/>
      <c r="H7" s="66"/>
      <c r="I7" s="66"/>
      <c r="J7" s="73"/>
      <c r="K7" s="73"/>
      <c r="L7" s="73"/>
      <c r="M7" s="73"/>
      <c r="N7" s="73"/>
      <c r="O7" s="71"/>
      <c r="P7" s="66"/>
      <c r="Q7" s="66"/>
      <c r="R7" s="66"/>
      <c r="S7" s="252"/>
    </row>
    <row r="8" spans="2:20" ht="24.95" customHeight="1">
      <c r="B8" s="249"/>
      <c r="C8" s="355" t="s">
        <v>105</v>
      </c>
      <c r="D8" s="355"/>
      <c r="E8" s="345">
        <f>现金流量表!C66</f>
        <v>141.52000000000001</v>
      </c>
      <c r="F8" s="345">
        <f>现金流量表!D66</f>
        <v>146.72999999999999</v>
      </c>
      <c r="G8" s="345">
        <f>现金流量表!E66</f>
        <v>151.16999999999999</v>
      </c>
      <c r="H8" s="345">
        <f>现金流量表!F66</f>
        <v>160.07</v>
      </c>
      <c r="I8" s="345">
        <f>现金流量表!G66</f>
        <v>174.06</v>
      </c>
      <c r="J8" s="345">
        <f>IS!I35</f>
        <v>187.72171861437255</v>
      </c>
      <c r="K8" s="345">
        <f>IS!J35</f>
        <v>221.3400079526312</v>
      </c>
      <c r="L8" s="345">
        <f>IS!K35</f>
        <v>282.18006243200773</v>
      </c>
      <c r="M8" s="345">
        <f>IS!L35</f>
        <v>363.1416127024537</v>
      </c>
      <c r="N8" s="345">
        <f>IS!M35</f>
        <v>468.25331611867324</v>
      </c>
      <c r="O8" s="57"/>
      <c r="P8" s="67"/>
      <c r="Q8" s="67"/>
      <c r="R8" s="67"/>
      <c r="S8" s="233"/>
    </row>
    <row r="9" spans="2:20" ht="24.95" customHeight="1">
      <c r="B9" s="249"/>
      <c r="C9" s="355" t="s">
        <v>525</v>
      </c>
      <c r="D9" s="35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57"/>
      <c r="P9" s="67"/>
      <c r="Q9" s="67"/>
      <c r="R9" s="67"/>
      <c r="S9" s="233"/>
    </row>
    <row r="10" spans="2:20" ht="24.95" customHeight="1">
      <c r="B10" s="249"/>
      <c r="C10" s="355"/>
      <c r="D10" s="355" t="s">
        <v>526</v>
      </c>
      <c r="E10" s="345">
        <f>现金流量表!C67</f>
        <v>3.93</v>
      </c>
      <c r="F10" s="345">
        <f>现金流量表!D67</f>
        <v>2.81</v>
      </c>
      <c r="G10" s="345">
        <f>现金流量表!E67</f>
        <v>8.4700000000000006</v>
      </c>
      <c r="H10" s="345">
        <f>现金流量表!F67</f>
        <v>29.27</v>
      </c>
      <c r="I10" s="345">
        <f>现金流量表!G67</f>
        <v>20.6</v>
      </c>
      <c r="J10" s="345"/>
      <c r="K10" s="345"/>
      <c r="L10" s="345"/>
      <c r="M10" s="345"/>
      <c r="N10" s="345"/>
      <c r="O10" s="57"/>
      <c r="P10" s="67"/>
      <c r="Q10" s="67"/>
      <c r="R10" s="67"/>
      <c r="S10" s="233"/>
    </row>
    <row r="11" spans="2:20" ht="24.95" customHeight="1">
      <c r="B11" s="249"/>
      <c r="C11" s="356"/>
      <c r="D11" s="355" t="s">
        <v>658</v>
      </c>
      <c r="E11" s="345">
        <f>现金流量表!C69</f>
        <v>44.8</v>
      </c>
      <c r="F11" s="345">
        <f>现金流量表!D69</f>
        <v>47.26</v>
      </c>
      <c r="G11" s="345">
        <f>现金流量表!E69</f>
        <v>49.81</v>
      </c>
      <c r="H11" s="345">
        <f>现金流量表!F69</f>
        <v>54.43</v>
      </c>
      <c r="I11" s="345">
        <f>现金流量表!G69</f>
        <v>57.16</v>
      </c>
      <c r="J11" s="345">
        <f>资本开支假设!I91+资本开支假设!I92+资本开支假设!I93</f>
        <v>85.011640542372049</v>
      </c>
      <c r="K11" s="345">
        <f>资本开支假设!J91+资本开支假设!J92+资本开支假设!J93</f>
        <v>82.089152139867977</v>
      </c>
      <c r="L11" s="345">
        <f>资本开支假设!K91+资本开支假设!K92+资本开支假设!K93</f>
        <v>79.666765991540231</v>
      </c>
      <c r="M11" s="345">
        <f>资本开支假设!L91+资本开支假设!L92+资本开支假设!L93</f>
        <v>77.567327237260457</v>
      </c>
      <c r="N11" s="345">
        <f>资本开支假设!M91+资本开支假设!M92+资本开支假设!M93</f>
        <v>75.783325403389156</v>
      </c>
      <c r="O11" s="57"/>
      <c r="P11" s="67"/>
      <c r="Q11" s="67"/>
      <c r="R11" s="67"/>
      <c r="S11" s="233"/>
    </row>
    <row r="12" spans="2:20" ht="24.95" customHeight="1">
      <c r="B12" s="249"/>
      <c r="C12" s="356"/>
      <c r="D12" s="355" t="s">
        <v>434</v>
      </c>
      <c r="E12" s="345">
        <f>现金流量表!C70</f>
        <v>2.2200000000000002</v>
      </c>
      <c r="F12" s="345">
        <f>现金流量表!D70</f>
        <v>2.2200000000000002</v>
      </c>
      <c r="G12" s="345">
        <f>现金流量表!E70</f>
        <v>5.48</v>
      </c>
      <c r="H12" s="345">
        <f>现金流量表!F70</f>
        <v>7.2</v>
      </c>
      <c r="I12" s="345">
        <f>现金流量表!G70</f>
        <v>9.3699999999999992</v>
      </c>
      <c r="J12" s="345">
        <f>资本开支假设!I94</f>
        <v>6.9959385500368292</v>
      </c>
      <c r="K12" s="345">
        <f>资本开支假设!J94</f>
        <v>6.924276626165061</v>
      </c>
      <c r="L12" s="345">
        <f>资本开支假设!K94</f>
        <v>6.8664726628428427</v>
      </c>
      <c r="M12" s="345">
        <f>资本开支假设!L94</f>
        <v>6.8228621372935576</v>
      </c>
      <c r="N12" s="345">
        <f>资本开支假设!M94</f>
        <v>6.793825345607547</v>
      </c>
      <c r="O12" s="57"/>
      <c r="P12" s="67"/>
      <c r="Q12" s="67"/>
      <c r="R12" s="67"/>
      <c r="S12" s="233"/>
    </row>
    <row r="13" spans="2:20" ht="24.95" customHeight="1">
      <c r="B13" s="249"/>
      <c r="C13" s="356"/>
      <c r="D13" s="355" t="s">
        <v>435</v>
      </c>
      <c r="E13" s="345">
        <f>现金流量表!C72</f>
        <v>0.16</v>
      </c>
      <c r="F13" s="345">
        <f>现金流量表!D72</f>
        <v>0.37</v>
      </c>
      <c r="G13" s="345">
        <f>现金流量表!E72</f>
        <v>1</v>
      </c>
      <c r="H13" s="345">
        <f>现金流量表!F72</f>
        <v>2.79</v>
      </c>
      <c r="I13" s="345">
        <f>现金流量表!G72</f>
        <v>1.6</v>
      </c>
      <c r="J13" s="345">
        <f>资本开支假设!I95</f>
        <v>1.3583333333333334</v>
      </c>
      <c r="K13" s="345">
        <f>资本开支假设!J95</f>
        <v>1.6755719637611155</v>
      </c>
      <c r="L13" s="345">
        <f>资本开支假设!K95</f>
        <v>1.9850578161874304</v>
      </c>
      <c r="M13" s="345">
        <f>资本开支假设!L95</f>
        <v>2.330752502826515</v>
      </c>
      <c r="N13" s="345">
        <f>资本开支假设!M95</f>
        <v>2.7446381764922094</v>
      </c>
      <c r="O13" s="57"/>
      <c r="P13" s="67"/>
      <c r="Q13" s="67"/>
      <c r="R13" s="67"/>
      <c r="S13" s="233"/>
    </row>
    <row r="14" spans="2:20" ht="24.95" customHeight="1">
      <c r="B14" s="249"/>
      <c r="C14" s="356"/>
      <c r="D14" s="355" t="s">
        <v>527</v>
      </c>
      <c r="E14" s="345">
        <f>现金流量表!C75</f>
        <v>0.28999999999999998</v>
      </c>
      <c r="F14" s="345">
        <f>现金流量表!D75</f>
        <v>0.32</v>
      </c>
      <c r="G14" s="345">
        <f>现金流量表!E75</f>
        <v>0.11</v>
      </c>
      <c r="H14" s="345">
        <f>现金流量表!F75</f>
        <v>-130.30000000000001</v>
      </c>
      <c r="I14" s="345">
        <f>现金流量表!G75</f>
        <v>0.52</v>
      </c>
      <c r="J14" s="345"/>
      <c r="K14" s="345"/>
      <c r="L14" s="345"/>
      <c r="M14" s="345"/>
      <c r="N14" s="345"/>
      <c r="O14" s="57"/>
      <c r="P14" s="67"/>
      <c r="Q14" s="67"/>
      <c r="R14" s="67"/>
      <c r="S14" s="233"/>
    </row>
    <row r="15" spans="2:20" ht="24.95" customHeight="1">
      <c r="B15" s="249"/>
      <c r="C15" s="356"/>
      <c r="D15" s="355" t="s">
        <v>528</v>
      </c>
      <c r="E15" s="345">
        <f>现金流量表!C76</f>
        <v>0</v>
      </c>
      <c r="F15" s="345">
        <f>现金流量表!D76</f>
        <v>0</v>
      </c>
      <c r="G15" s="345">
        <f>现金流量表!E76</f>
        <v>0</v>
      </c>
      <c r="H15" s="345">
        <f>现金流量表!F76</f>
        <v>0.06</v>
      </c>
      <c r="I15" s="345">
        <f>现金流量表!G76</f>
        <v>0.46</v>
      </c>
      <c r="J15" s="345"/>
      <c r="K15" s="345"/>
      <c r="L15" s="345"/>
      <c r="M15" s="345"/>
      <c r="N15" s="345"/>
      <c r="O15" s="57"/>
      <c r="P15" s="67"/>
      <c r="Q15" s="67"/>
      <c r="R15" s="67"/>
      <c r="S15" s="233"/>
    </row>
    <row r="16" spans="2:20" ht="24.95" customHeight="1">
      <c r="B16" s="249"/>
      <c r="C16" s="356"/>
      <c r="D16" s="355" t="s">
        <v>529</v>
      </c>
      <c r="E16" s="345">
        <f>现金流量表!C77</f>
        <v>0</v>
      </c>
      <c r="F16" s="345">
        <f>现金流量表!D77</f>
        <v>0</v>
      </c>
      <c r="G16" s="345">
        <f>现金流量表!E77</f>
        <v>0</v>
      </c>
      <c r="H16" s="345">
        <f>现金流量表!F77</f>
        <v>0</v>
      </c>
      <c r="I16" s="345">
        <f>现金流量表!G77</f>
        <v>0</v>
      </c>
      <c r="J16" s="345"/>
      <c r="K16" s="345"/>
      <c r="L16" s="345"/>
      <c r="M16" s="345"/>
      <c r="N16" s="345"/>
      <c r="O16" s="57"/>
      <c r="P16" s="67"/>
      <c r="Q16" s="67"/>
      <c r="R16" s="67"/>
      <c r="S16" s="233"/>
    </row>
    <row r="17" spans="2:19" ht="24.95" customHeight="1">
      <c r="B17" s="249"/>
      <c r="C17" s="356"/>
      <c r="D17" s="355" t="s">
        <v>530</v>
      </c>
      <c r="E17" s="345">
        <f>现金流量表!C78</f>
        <v>7.3</v>
      </c>
      <c r="F17" s="345">
        <f>现金流量表!D78</f>
        <v>7.06</v>
      </c>
      <c r="G17" s="345">
        <f>现金流量表!E78</f>
        <v>11.06</v>
      </c>
      <c r="H17" s="345">
        <f>现金流量表!F78</f>
        <v>11.34</v>
      </c>
      <c r="I17" s="345">
        <f>现金流量表!G78</f>
        <v>20.350000000000001</v>
      </c>
      <c r="J17" s="345"/>
      <c r="K17" s="345"/>
      <c r="L17" s="345"/>
      <c r="M17" s="345"/>
      <c r="N17" s="345"/>
      <c r="O17" s="57"/>
      <c r="P17" s="67"/>
      <c r="Q17" s="67"/>
      <c r="R17" s="67"/>
      <c r="S17" s="233"/>
    </row>
    <row r="18" spans="2:19" ht="24.95" customHeight="1">
      <c r="B18" s="249"/>
      <c r="C18" s="357"/>
      <c r="D18" s="355" t="s">
        <v>531</v>
      </c>
      <c r="E18" s="345">
        <f>现金流量表!C79</f>
        <v>-12.82</v>
      </c>
      <c r="F18" s="345">
        <f>现金流量表!D79</f>
        <v>-12.8</v>
      </c>
      <c r="G18" s="345">
        <f>现金流量表!E79</f>
        <v>-7.94</v>
      </c>
      <c r="H18" s="345">
        <f>现金流量表!F79</f>
        <v>-10.96</v>
      </c>
      <c r="I18" s="345">
        <f>现金流量表!G79</f>
        <v>-38.479999999999997</v>
      </c>
      <c r="J18" s="345">
        <f>BS!H20-BS!I20</f>
        <v>0</v>
      </c>
      <c r="K18" s="345">
        <f>BS!I20-BS!J20</f>
        <v>0</v>
      </c>
      <c r="L18" s="345">
        <f>BS!J20-BS!K20</f>
        <v>0</v>
      </c>
      <c r="M18" s="345">
        <f>BS!K20-BS!L20</f>
        <v>0</v>
      </c>
      <c r="N18" s="345">
        <f>BS!L20-BS!M20</f>
        <v>0</v>
      </c>
      <c r="O18" s="57"/>
      <c r="P18" s="67"/>
      <c r="Q18" s="67"/>
      <c r="R18" s="67"/>
      <c r="S18" s="233"/>
    </row>
    <row r="19" spans="2:19" ht="24.95" customHeight="1">
      <c r="B19" s="249"/>
      <c r="C19" s="358"/>
      <c r="D19" s="355" t="s">
        <v>532</v>
      </c>
      <c r="E19" s="345">
        <f>现金流量表!C80</f>
        <v>-0.99</v>
      </c>
      <c r="F19" s="345">
        <f>现金流量表!D80</f>
        <v>1.87</v>
      </c>
      <c r="G19" s="345">
        <f>现金流量表!E80</f>
        <v>-9.7899999999999991</v>
      </c>
      <c r="H19" s="345">
        <f>现金流量表!F80</f>
        <v>-25.87</v>
      </c>
      <c r="I19" s="345">
        <f>现金流量表!G80</f>
        <v>-3.93</v>
      </c>
      <c r="J19" s="345">
        <f>BS!H29-BS!I29</f>
        <v>-6.6316945313284634</v>
      </c>
      <c r="K19" s="345">
        <f>BS!I29-BS!J29</f>
        <v>-14.522368907585545</v>
      </c>
      <c r="L19" s="345">
        <f>BS!J29-BS!K29</f>
        <v>-26.281578655509108</v>
      </c>
      <c r="M19" s="345">
        <f>BS!K29-BS!L29</f>
        <v>-34.973626662776255</v>
      </c>
      <c r="N19" s="345">
        <f>BS!L29-BS!M29</f>
        <v>-45.405966917474558</v>
      </c>
      <c r="O19" s="57"/>
      <c r="P19" s="67"/>
      <c r="Q19" s="67"/>
      <c r="R19" s="67"/>
      <c r="S19" s="233"/>
    </row>
    <row r="20" spans="2:19" ht="24.95" customHeight="1">
      <c r="B20" s="249"/>
      <c r="C20" s="359"/>
      <c r="D20" s="355" t="s">
        <v>533</v>
      </c>
      <c r="E20" s="345">
        <f>现金流量表!C81</f>
        <v>0</v>
      </c>
      <c r="F20" s="345">
        <f>现金流量表!D81</f>
        <v>0</v>
      </c>
      <c r="G20" s="345">
        <f>现金流量表!E81</f>
        <v>-1.63</v>
      </c>
      <c r="H20" s="345">
        <f>现金流量表!F81</f>
        <v>-0.92</v>
      </c>
      <c r="I20" s="345">
        <f>现金流量表!G81</f>
        <v>-1.73</v>
      </c>
      <c r="J20" s="345">
        <f>BS!I49-BS!H49</f>
        <v>1.4666666666666668</v>
      </c>
      <c r="K20" s="345">
        <f>BS!J49-BS!I49</f>
        <v>1.1076666666666668</v>
      </c>
      <c r="L20" s="345">
        <f>BS!K49-BS!J49</f>
        <v>1.2184333333333353</v>
      </c>
      <c r="M20" s="345">
        <f>BS!L49-BS!K49</f>
        <v>1.3402766666666679</v>
      </c>
      <c r="N20" s="345">
        <f>BS!M49-BS!L49</f>
        <v>1.4743043333333361</v>
      </c>
      <c r="O20" s="57"/>
      <c r="P20" s="67"/>
      <c r="Q20" s="67"/>
      <c r="R20" s="67"/>
      <c r="S20" s="233"/>
    </row>
    <row r="21" spans="2:19" ht="24.95" customHeight="1">
      <c r="B21" s="249"/>
      <c r="C21" s="360"/>
      <c r="D21" s="355" t="s">
        <v>534</v>
      </c>
      <c r="E21" s="345">
        <f>现金流量表!C82</f>
        <v>-58.22</v>
      </c>
      <c r="F21" s="345">
        <f>现金流量表!D82</f>
        <v>35.74</v>
      </c>
      <c r="G21" s="345">
        <f>现金流量表!E82</f>
        <v>-50.37</v>
      </c>
      <c r="H21" s="345">
        <f>现金流量表!F82</f>
        <v>-41.96</v>
      </c>
      <c r="I21" s="345">
        <f>现金流量表!G82</f>
        <v>-53.71</v>
      </c>
      <c r="J21" s="345">
        <f>BS!H15-BS!I15</f>
        <v>-107.07061195307847</v>
      </c>
      <c r="K21" s="345">
        <f>BS!I15-BS!J15</f>
        <v>-173.68663402780726</v>
      </c>
      <c r="L21" s="345">
        <f>BS!J15-BS!K15</f>
        <v>-244.61225282449027</v>
      </c>
      <c r="M21" s="345">
        <f>BS!K15-BS!L15</f>
        <v>-324.56916117713627</v>
      </c>
      <c r="N21" s="345">
        <f>BS!L15-BS!M15</f>
        <v>-438.76714628866762</v>
      </c>
      <c r="O21" s="57"/>
      <c r="P21" s="67"/>
      <c r="Q21" s="67"/>
      <c r="R21" s="67"/>
      <c r="S21" s="233"/>
    </row>
    <row r="22" spans="2:19" ht="24.95" customHeight="1">
      <c r="B22" s="249"/>
      <c r="C22" s="361"/>
      <c r="D22" s="355" t="s">
        <v>535</v>
      </c>
      <c r="E22" s="345">
        <f>现金流量表!C83</f>
        <v>-4.91</v>
      </c>
      <c r="F22" s="345">
        <f>现金流量表!D83</f>
        <v>-49.36</v>
      </c>
      <c r="G22" s="345">
        <f>现金流量表!E83</f>
        <v>14.54</v>
      </c>
      <c r="H22" s="345">
        <f>现金流量表!F83</f>
        <v>19.47</v>
      </c>
      <c r="I22" s="345">
        <f>现金流量表!G83</f>
        <v>7.62</v>
      </c>
      <c r="J22" s="345">
        <f>BS!H10-BS!I10+BS!H11-BS!I11+BS!H12-BS!I12+BS!H13-BS!I13+BS!H19-BS!I19</f>
        <v>-53.876125716103473</v>
      </c>
      <c r="K22" s="345">
        <f>BS!I10-BS!J10+BS!I11-BS!J11+BS!I12-BS!J12+BS!I13-BS!J13+BS!I19-BS!J19</f>
        <v>-27.32948295662916</v>
      </c>
      <c r="L22" s="345">
        <f>BS!J10-BS!K10+BS!J11-BS!K11+BS!J12-BS!K12+BS!J13-BS!K13+BS!J19-BS!K19</f>
        <v>-38.301488700875993</v>
      </c>
      <c r="M22" s="345">
        <f>BS!K10-BS!L10+BS!K11-BS!L11+BS!K12-BS!L12+BS!K13-BS!L13+BS!K19-BS!L19</f>
        <v>-50.350140232596367</v>
      </c>
      <c r="N22" s="345">
        <f>BS!L10-BS!M10+BS!L11-BS!M11+BS!L12-BS!M12+BS!L13-BS!M13+BS!L19-BS!M19</f>
        <v>-67.032549397664965</v>
      </c>
      <c r="O22" s="57"/>
      <c r="P22" s="67"/>
      <c r="Q22" s="67"/>
      <c r="R22" s="67"/>
      <c r="S22" s="233"/>
    </row>
    <row r="23" spans="2:19" ht="24.95" customHeight="1">
      <c r="B23" s="249"/>
      <c r="C23" s="362"/>
      <c r="D23" s="355" t="s">
        <v>536</v>
      </c>
      <c r="E23" s="345">
        <f>现金流量表!C84</f>
        <v>4.0999999999999996</v>
      </c>
      <c r="F23" s="345">
        <f>现金流量表!D84</f>
        <v>6.87</v>
      </c>
      <c r="G23" s="345">
        <f>现金流量表!E84</f>
        <v>76.87</v>
      </c>
      <c r="H23" s="345">
        <f>现金流量表!F84</f>
        <v>145.44</v>
      </c>
      <c r="I23" s="345">
        <f>现金流量表!G84</f>
        <v>-70.63</v>
      </c>
      <c r="J23" s="345">
        <f>BS!I36-BS!H36+BS!I37-BS!H37+BS!I38-BS!H38+BS!I39-BS!H39+BS!I40-BS!H40+BS!I41-BS!H41+BS!I46-BS!H46+BS!I47-BS!H47</f>
        <v>61.005298435010502</v>
      </c>
      <c r="K23" s="345">
        <f>BS!J36-BS!I36+BS!J37-BS!I37+BS!J38-BS!I38+BS!J39-BS!I39+BS!J40-BS!I40+BS!J41-BS!I41+BS!J46-BS!I46+BS!J47-BS!I47</f>
        <v>123.22401711494899</v>
      </c>
      <c r="L23" s="345">
        <f>BS!K36-BS!J36+BS!K37-BS!J37+BS!K38-BS!J38+BS!K39-BS!J39+BS!K40-BS!J40+BS!K41-BS!J41+BS!K46-BS!J46+BS!K47-BS!J47</f>
        <v>176.73800712265717</v>
      </c>
      <c r="M23" s="345">
        <f>BS!L36-BS!K36+BS!L37-BS!K37+BS!L38-BS!K38+BS!L39-BS!K39+BS!L40-BS!K40+BS!L41-BS!K41+BS!L46-BS!K46+BS!L47-BS!K47</f>
        <v>234.30011913625006</v>
      </c>
      <c r="N23" s="345">
        <f>BS!M36-BS!L36+BS!M37-BS!L37+BS!M38-BS!L38+BS!M39-BS!L39+BS!M40-BS!L40+BS!M41-BS!L41+BS!M46-BS!L46+BS!M47-BS!L47</f>
        <v>313.50266470094641</v>
      </c>
      <c r="O23" s="57"/>
      <c r="P23" s="67"/>
      <c r="Q23" s="67"/>
      <c r="R23" s="67"/>
      <c r="S23" s="233"/>
    </row>
    <row r="24" spans="2:19" ht="24.95" customHeight="1">
      <c r="B24" s="249"/>
      <c r="C24" s="363"/>
      <c r="D24" s="355" t="s">
        <v>537</v>
      </c>
      <c r="E24" s="345">
        <f>现金流量表!C86</f>
        <v>0</v>
      </c>
      <c r="F24" s="345">
        <f>现金流量表!D86</f>
        <v>0</v>
      </c>
      <c r="G24" s="345">
        <f>现金流量表!E86</f>
        <v>0</v>
      </c>
      <c r="H24" s="345">
        <f>现金流量表!F86</f>
        <v>0</v>
      </c>
      <c r="I24" s="345">
        <f>现金流量表!G86</f>
        <v>0</v>
      </c>
      <c r="J24" s="345">
        <f>BS!H9-BS!I9+BS!H14-BS!I14+BS!H16-BS!I16+BS!H30-BS!I30+BS!I35-BS!H35+BS!I42-BS!H42+BS!I43-BS!H43+BS!I48-BS!H48+BS!I50-BS!H50</f>
        <v>-103.41114193166402</v>
      </c>
      <c r="K24" s="345">
        <f>BS!I9-BS!J9+BS!I14-BS!J14+BS!I16-BS!J16+BS!I30-BS!J30+BS!J35-BS!I35+BS!J42-BS!I42+BS!J43-BS!I43+BS!J48-BS!I48+BS!J50-BS!I50</f>
        <v>1.9884805031182111</v>
      </c>
      <c r="L24" s="345">
        <f>BS!J9-BS!K9+BS!J14-BS!K14+BS!J16-BS!K16+BS!J30-BS!K30+BS!K35-BS!J35+BS!K42-BS!J42+BS!K43-BS!J43+BS!K48-BS!J48+BS!K50-BS!J50</f>
        <v>1.3583530416595835</v>
      </c>
      <c r="M24" s="345">
        <f>BS!K9-BS!L9+BS!K14-BS!L14+BS!K16-BS!L16+BS!K30-BS!L30+BS!L35-BS!K35+BS!L42-BS!K42+BS!L43-BS!K43+BS!L48-BS!K48+BS!L50-BS!K50</f>
        <v>0.66684965030687238</v>
      </c>
      <c r="N24" s="345">
        <f>BS!L9-BS!M9+BS!L14-BS!M14+BS!L16-BS!M16+BS!L30-BS!M30+BS!M35-BS!L35+BS!M42-BS!L42+BS!M43-BS!L43+BS!M48-BS!L48+BS!M50-BS!L50</f>
        <v>-0.43581519196549579</v>
      </c>
      <c r="O24" s="67" t="e">
        <f>BS!#REF!-BS!#REF!+BS!M16-BS!N16+BS!M30-BS!N30+BS!N48-BS!M48</f>
        <v>#REF!</v>
      </c>
      <c r="P24" s="67" t="e">
        <f>BS!#REF!-BS!#REF!+BS!N16-BS!O16+BS!N30-BS!O30+BS!O48-BS!N48</f>
        <v>#REF!</v>
      </c>
      <c r="Q24" s="67" t="e">
        <f>BS!#REF!-BS!#REF!+BS!O16-BS!P16+BS!O30-BS!P30+BS!P48-BS!O48</f>
        <v>#REF!</v>
      </c>
      <c r="R24" s="67" t="e">
        <f>BS!#REF!-BS!#REF!+BS!P16-BS!Q16+BS!P30-BS!Q30+BS!Q48-BS!P48</f>
        <v>#REF!</v>
      </c>
      <c r="S24" s="233"/>
    </row>
    <row r="25" spans="2:19" ht="24.95" customHeight="1">
      <c r="B25" s="249"/>
      <c r="C25" s="356"/>
      <c r="D25" s="364" t="s">
        <v>538</v>
      </c>
      <c r="E25" s="345">
        <f t="shared" ref="E25:N25" si="0">SUM(E8:E24)</f>
        <v>127.38</v>
      </c>
      <c r="F25" s="345">
        <f t="shared" si="0"/>
        <v>189.08999999999997</v>
      </c>
      <c r="G25" s="345">
        <f t="shared" si="0"/>
        <v>248.78</v>
      </c>
      <c r="H25" s="345">
        <f t="shared" si="0"/>
        <v>220.05999999999997</v>
      </c>
      <c r="I25" s="345">
        <f t="shared" si="0"/>
        <v>123.26000000000002</v>
      </c>
      <c r="J25" s="345">
        <f t="shared" si="0"/>
        <v>72.570022009617475</v>
      </c>
      <c r="K25" s="345">
        <f t="shared" si="0"/>
        <v>222.81068707513725</v>
      </c>
      <c r="L25" s="345">
        <f t="shared" si="0"/>
        <v>240.81783221935291</v>
      </c>
      <c r="M25" s="345">
        <f t="shared" si="0"/>
        <v>276.27687196054887</v>
      </c>
      <c r="N25" s="345">
        <f t="shared" si="0"/>
        <v>316.91059628266925</v>
      </c>
      <c r="O25" s="57"/>
      <c r="P25" s="67"/>
      <c r="Q25" s="67"/>
      <c r="R25" s="67"/>
      <c r="S25" s="233"/>
    </row>
    <row r="26" spans="2:19" ht="24.95" customHeight="1">
      <c r="B26" s="249"/>
      <c r="C26" s="364" t="s">
        <v>539</v>
      </c>
      <c r="D26" s="35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57"/>
      <c r="P26" s="66"/>
      <c r="Q26" s="67"/>
      <c r="R26" s="67"/>
      <c r="S26" s="233"/>
    </row>
    <row r="27" spans="2:19" ht="24.95" customHeight="1">
      <c r="B27" s="249"/>
      <c r="C27" s="365"/>
      <c r="D27" s="355" t="s">
        <v>540</v>
      </c>
      <c r="E27" s="345">
        <f>现金流量表!C24</f>
        <v>0</v>
      </c>
      <c r="F27" s="345">
        <f>现金流量表!D24</f>
        <v>6.13</v>
      </c>
      <c r="G27" s="345">
        <f>现金流量表!E24</f>
        <v>0.3</v>
      </c>
      <c r="H27" s="345">
        <f>现金流量表!F24</f>
        <v>231.5</v>
      </c>
      <c r="I27" s="345">
        <f>现金流量表!G24</f>
        <v>2221.91</v>
      </c>
      <c r="J27" s="449">
        <f>BS!H18-BS!I18</f>
        <v>0</v>
      </c>
      <c r="K27" s="449">
        <f>BS!I18-BS!J18</f>
        <v>0</v>
      </c>
      <c r="L27" s="449">
        <f>BS!J18-BS!K18</f>
        <v>0</v>
      </c>
      <c r="M27" s="449">
        <f>BS!K18-BS!L18</f>
        <v>0</v>
      </c>
      <c r="N27" s="449">
        <f>BS!L18-BS!M18</f>
        <v>0</v>
      </c>
      <c r="O27" s="57"/>
      <c r="P27" s="66"/>
      <c r="Q27" s="67"/>
      <c r="R27" s="67"/>
      <c r="S27" s="233"/>
    </row>
    <row r="28" spans="2:19" ht="24.95" customHeight="1">
      <c r="B28" s="249"/>
      <c r="C28" s="365"/>
      <c r="D28" s="355" t="s">
        <v>541</v>
      </c>
      <c r="E28" s="345">
        <f>现金流量表!C25</f>
        <v>8.77</v>
      </c>
      <c r="F28" s="345">
        <f>现金流量表!D25</f>
        <v>10.14</v>
      </c>
      <c r="G28" s="345">
        <f>现金流量表!E25</f>
        <v>3.85</v>
      </c>
      <c r="H28" s="345">
        <f>现金流量表!F25</f>
        <v>7.45</v>
      </c>
      <c r="I28" s="345">
        <f>现金流量表!G25</f>
        <v>38.36</v>
      </c>
      <c r="J28" s="450"/>
      <c r="K28" s="450"/>
      <c r="L28" s="450"/>
      <c r="M28" s="450"/>
      <c r="N28" s="450"/>
      <c r="O28" s="57"/>
      <c r="P28" s="66"/>
      <c r="Q28" s="67"/>
      <c r="R28" s="67"/>
      <c r="S28" s="233"/>
    </row>
    <row r="29" spans="2:19" ht="24.95" customHeight="1">
      <c r="B29" s="249"/>
      <c r="C29" s="365"/>
      <c r="D29" s="355" t="s">
        <v>542</v>
      </c>
      <c r="E29" s="345">
        <f>-现金流量表!C33</f>
        <v>0</v>
      </c>
      <c r="F29" s="345">
        <f>-现金流量表!D33</f>
        <v>-29.1</v>
      </c>
      <c r="G29" s="345">
        <f>-现金流量表!E33</f>
        <v>-107</v>
      </c>
      <c r="H29" s="345">
        <f>-现金流量表!F33</f>
        <v>-1051.8</v>
      </c>
      <c r="I29" s="345">
        <f>-现金流量表!G33</f>
        <v>-2094.6999999999998</v>
      </c>
      <c r="J29" s="451"/>
      <c r="K29" s="451"/>
      <c r="L29" s="451"/>
      <c r="M29" s="451"/>
      <c r="N29" s="451"/>
      <c r="O29" s="57"/>
      <c r="P29" s="66"/>
      <c r="Q29" s="67"/>
      <c r="R29" s="67"/>
      <c r="S29" s="233"/>
    </row>
    <row r="30" spans="2:19" ht="24.95" customHeight="1">
      <c r="B30" s="249"/>
      <c r="C30" s="366"/>
      <c r="D30" s="355" t="s">
        <v>543</v>
      </c>
      <c r="E30" s="345">
        <f>-现金流量表!C32</f>
        <v>-70.59</v>
      </c>
      <c r="F30" s="345">
        <f>-现金流量表!D32</f>
        <v>-35.729999999999997</v>
      </c>
      <c r="G30" s="345">
        <f>-现金流量表!E32</f>
        <v>-149.55000000000001</v>
      </c>
      <c r="H30" s="345">
        <f>-现金流量表!F32</f>
        <v>-240.69</v>
      </c>
      <c r="I30" s="345">
        <f>-现金流量表!G32</f>
        <v>-328.24</v>
      </c>
      <c r="J30" s="449">
        <f>-资本开支假设!I7-资本开支假设!I8-资本开支假设!I9-资本开支假设!I10-资本开支假设!I11+BS!H27-BS!I27+BS!H26-BS!I26</f>
        <v>-47.969166666666652</v>
      </c>
      <c r="K30" s="449">
        <f>-资本开支假设!J7-资本开支假设!J8-资本开支假设!J9-资本开支假设!J10-资本开支假设!J11+BS!I27-BS!J27+BS!I26-BS!J26</f>
        <v>-51.299409043422251</v>
      </c>
      <c r="L30" s="449">
        <f>-资本开支假设!K7-资本开支假设!K8-资本开支假设!K9-资本开支假设!K10-资本开支假设!K11+BS!J27-BS!K27+BS!J26-BS!K26</f>
        <v>-55.018651703510493</v>
      </c>
      <c r="M30" s="449">
        <f>-资本开支假设!L7-资本开支假设!L8-资本开支假设!L9-资本开支假设!L10-资本开支假设!L11+BS!K27-BS!L27+BS!K26-BS!L26</f>
        <v>-59.138473521977048</v>
      </c>
      <c r="N30" s="449">
        <f>-资本开支假设!M7-资本开支假设!M8-资本开支假设!M9-资本开支假设!M10-资本开支假设!M11+BS!L27-BS!M27+BS!L26-BS!M26</f>
        <v>-63.671120620001552</v>
      </c>
      <c r="O30" s="57"/>
      <c r="P30" s="66"/>
      <c r="Q30" s="67"/>
      <c r="R30" s="67"/>
      <c r="S30" s="233"/>
    </row>
    <row r="31" spans="2:19" ht="24.95" customHeight="1">
      <c r="B31" s="249"/>
      <c r="C31" s="366"/>
      <c r="D31" s="355" t="s">
        <v>544</v>
      </c>
      <c r="E31" s="345">
        <f>现金流量表!C26</f>
        <v>0.2</v>
      </c>
      <c r="F31" s="345">
        <f>现金流量表!D26</f>
        <v>0.15</v>
      </c>
      <c r="G31" s="345">
        <f>现金流量表!E26</f>
        <v>0.13</v>
      </c>
      <c r="H31" s="345">
        <f>现金流量表!F26</f>
        <v>130.41</v>
      </c>
      <c r="I31" s="345">
        <f>现金流量表!G26</f>
        <v>1.34</v>
      </c>
      <c r="J31" s="451"/>
      <c r="K31" s="451"/>
      <c r="L31" s="451"/>
      <c r="M31" s="451"/>
      <c r="N31" s="451"/>
      <c r="O31" s="57"/>
      <c r="P31" s="66"/>
      <c r="Q31" s="67"/>
      <c r="R31" s="67"/>
      <c r="S31" s="233"/>
    </row>
    <row r="32" spans="2:19" ht="24.95" customHeight="1">
      <c r="B32" s="249"/>
      <c r="C32" s="364"/>
      <c r="D32" s="355" t="s">
        <v>545</v>
      </c>
      <c r="E32" s="345">
        <f>现金流量表!C27</f>
        <v>0</v>
      </c>
      <c r="F32" s="345">
        <f>现金流量表!D27</f>
        <v>0</v>
      </c>
      <c r="G32" s="345">
        <f>现金流量表!E27</f>
        <v>0</v>
      </c>
      <c r="H32" s="345">
        <f>现金流量表!F27</f>
        <v>0</v>
      </c>
      <c r="I32" s="345">
        <f>现金流量表!G27</f>
        <v>0</v>
      </c>
      <c r="J32" s="367"/>
      <c r="K32" s="367"/>
      <c r="L32" s="367"/>
      <c r="M32" s="367"/>
      <c r="N32" s="367"/>
      <c r="O32" s="57"/>
      <c r="P32" s="66"/>
      <c r="Q32" s="67"/>
      <c r="R32" s="67"/>
      <c r="S32" s="233"/>
    </row>
    <row r="33" spans="2:19" ht="24.95" customHeight="1">
      <c r="B33" s="249"/>
      <c r="C33" s="364"/>
      <c r="D33" s="355" t="s">
        <v>546</v>
      </c>
      <c r="E33" s="345">
        <f>-现金流量表!C34</f>
        <v>0</v>
      </c>
      <c r="F33" s="345">
        <f>-现金流量表!D34</f>
        <v>0</v>
      </c>
      <c r="G33" s="345">
        <f>-现金流量表!E34</f>
        <v>-160.72999999999999</v>
      </c>
      <c r="H33" s="345">
        <f>-现金流量表!F34</f>
        <v>0</v>
      </c>
      <c r="I33" s="345">
        <f>-现金流量表!G34</f>
        <v>0</v>
      </c>
      <c r="J33" s="367"/>
      <c r="K33" s="367"/>
      <c r="L33" s="367"/>
      <c r="M33" s="367"/>
      <c r="N33" s="367"/>
      <c r="O33" s="57"/>
      <c r="P33" s="66"/>
      <c r="Q33" s="67"/>
      <c r="R33" s="67"/>
      <c r="S33" s="233"/>
    </row>
    <row r="34" spans="2:19" ht="24.95" customHeight="1">
      <c r="B34" s="249"/>
      <c r="C34" s="364"/>
      <c r="D34" s="355" t="s">
        <v>547</v>
      </c>
      <c r="E34" s="345">
        <f>现金流量表!C28</f>
        <v>0</v>
      </c>
      <c r="F34" s="345">
        <f>现金流量表!D28</f>
        <v>0.81</v>
      </c>
      <c r="G34" s="345">
        <f>现金流量表!E28</f>
        <v>17.55</v>
      </c>
      <c r="H34" s="345">
        <f>现金流量表!F28</f>
        <v>5.67</v>
      </c>
      <c r="I34" s="345">
        <f>现金流量表!G28</f>
        <v>0.27</v>
      </c>
      <c r="J34" s="452"/>
      <c r="K34" s="452"/>
      <c r="L34" s="452"/>
      <c r="M34" s="452"/>
      <c r="N34" s="452"/>
      <c r="O34" s="57"/>
      <c r="P34" s="66"/>
      <c r="Q34" s="67"/>
      <c r="R34" s="67"/>
      <c r="S34" s="233"/>
    </row>
    <row r="35" spans="2:19" ht="24.95" customHeight="1">
      <c r="B35" s="249"/>
      <c r="C35" s="364"/>
      <c r="D35" s="355" t="s">
        <v>548</v>
      </c>
      <c r="E35" s="345">
        <f>-现金流量表!C35</f>
        <v>0</v>
      </c>
      <c r="F35" s="345">
        <f>-现金流量表!D35</f>
        <v>-0.02</v>
      </c>
      <c r="G35" s="345">
        <f>-现金流量表!E35</f>
        <v>-30</v>
      </c>
      <c r="H35" s="345">
        <f>-现金流量表!F35</f>
        <v>-10</v>
      </c>
      <c r="I35" s="345">
        <f>-现金流量表!G35</f>
        <v>0</v>
      </c>
      <c r="J35" s="453"/>
      <c r="K35" s="453"/>
      <c r="L35" s="453"/>
      <c r="M35" s="453"/>
      <c r="N35" s="453"/>
      <c r="O35" s="57"/>
      <c r="P35" s="66"/>
      <c r="Q35" s="67"/>
      <c r="R35" s="67"/>
      <c r="S35" s="233"/>
    </row>
    <row r="36" spans="2:19" ht="24.95" customHeight="1">
      <c r="B36" s="249"/>
      <c r="C36" s="356"/>
      <c r="D36" s="364" t="s">
        <v>549</v>
      </c>
      <c r="E36" s="345">
        <f>SUM(E27:E35)</f>
        <v>-61.620000000000005</v>
      </c>
      <c r="F36" s="345">
        <f t="shared" ref="F36:I36" si="1">SUM(F27:F35)</f>
        <v>-47.620000000000005</v>
      </c>
      <c r="G36" s="345">
        <f t="shared" si="1"/>
        <v>-425.45</v>
      </c>
      <c r="H36" s="345">
        <f t="shared" si="1"/>
        <v>-927.46</v>
      </c>
      <c r="I36" s="345">
        <f t="shared" si="1"/>
        <v>-161.05999999999983</v>
      </c>
      <c r="J36" s="345">
        <f t="shared" ref="J36" si="2">SUM(J27:J35)</f>
        <v>-47.969166666666652</v>
      </c>
      <c r="K36" s="345">
        <f t="shared" ref="K36" si="3">SUM(K27:K35)</f>
        <v>-51.299409043422251</v>
      </c>
      <c r="L36" s="345">
        <f t="shared" ref="L36" si="4">SUM(L27:L35)</f>
        <v>-55.018651703510493</v>
      </c>
      <c r="M36" s="345">
        <f t="shared" ref="M36" si="5">SUM(M27:M35)</f>
        <v>-59.138473521977048</v>
      </c>
      <c r="N36" s="345">
        <f t="shared" ref="N36" si="6">SUM(N27:N35)</f>
        <v>-63.671120620001552</v>
      </c>
      <c r="O36" s="57"/>
      <c r="P36" s="67"/>
      <c r="Q36" s="67"/>
      <c r="R36" s="67"/>
      <c r="S36" s="233"/>
    </row>
    <row r="37" spans="2:19" ht="24.95" customHeight="1">
      <c r="B37" s="249"/>
      <c r="C37" s="364" t="s">
        <v>550</v>
      </c>
      <c r="D37" s="35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57"/>
      <c r="P37" s="66"/>
      <c r="Q37" s="67"/>
      <c r="R37" s="67"/>
      <c r="S37" s="233" t="s">
        <v>392</v>
      </c>
    </row>
    <row r="38" spans="2:19" ht="24.95" customHeight="1">
      <c r="B38" s="249"/>
      <c r="C38" s="364"/>
      <c r="D38" s="355" t="s">
        <v>551</v>
      </c>
      <c r="E38" s="345">
        <f>现金流量表!C42</f>
        <v>1</v>
      </c>
      <c r="F38" s="345">
        <f>现金流量表!D42</f>
        <v>1</v>
      </c>
      <c r="G38" s="345">
        <f>现金流量表!E42</f>
        <v>7.87</v>
      </c>
      <c r="H38" s="345">
        <f>现金流量表!F42</f>
        <v>1092.48</v>
      </c>
      <c r="I38" s="345">
        <f>现金流量表!G42</f>
        <v>0.98</v>
      </c>
      <c r="J38" s="368">
        <f>资产负债假设!J30</f>
        <v>0</v>
      </c>
      <c r="K38" s="368">
        <f>资产负债假设!K30</f>
        <v>0</v>
      </c>
      <c r="L38" s="368">
        <f>资产负债假设!L30</f>
        <v>0</v>
      </c>
      <c r="M38" s="368">
        <f>资产负债假设!M30</f>
        <v>0</v>
      </c>
      <c r="N38" s="368">
        <f>资产负债假设!N30</f>
        <v>0</v>
      </c>
      <c r="O38" s="57"/>
      <c r="P38" s="66"/>
      <c r="Q38" s="67"/>
      <c r="R38" s="67"/>
      <c r="S38" s="233"/>
    </row>
    <row r="39" spans="2:19" ht="24.95" customHeight="1">
      <c r="B39" s="249"/>
      <c r="C39" s="364"/>
      <c r="D39" s="355" t="s">
        <v>552</v>
      </c>
      <c r="E39" s="345">
        <f>现金流量表!C43</f>
        <v>1</v>
      </c>
      <c r="F39" s="345">
        <f>现金流量表!D43</f>
        <v>1</v>
      </c>
      <c r="G39" s="345">
        <f>现金流量表!E43</f>
        <v>7.87</v>
      </c>
      <c r="H39" s="345">
        <f>现金流量表!F43</f>
        <v>26.14</v>
      </c>
      <c r="I39" s="345">
        <f>现金流量表!G43</f>
        <v>0.98</v>
      </c>
      <c r="J39" s="368">
        <f>IS!I39</f>
        <v>-1.6</v>
      </c>
      <c r="K39" s="368">
        <f>IS!J39</f>
        <v>-1.7120000000000002</v>
      </c>
      <c r="L39" s="368">
        <f>IS!K39</f>
        <v>-1.8318400000000004</v>
      </c>
      <c r="M39" s="368">
        <f>IS!L39</f>
        <v>-1.9600688000000004</v>
      </c>
      <c r="N39" s="368">
        <f>IS!M39</f>
        <v>-2.0972736160000007</v>
      </c>
      <c r="O39" s="57"/>
      <c r="P39" s="66"/>
      <c r="Q39" s="67"/>
      <c r="R39" s="67"/>
      <c r="S39" s="233"/>
    </row>
    <row r="40" spans="2:19" ht="24.95" customHeight="1">
      <c r="B40" s="249"/>
      <c r="C40" s="369"/>
      <c r="D40" s="355" t="s">
        <v>553</v>
      </c>
      <c r="E40" s="345">
        <f>现金流量表!C44</f>
        <v>0</v>
      </c>
      <c r="F40" s="345">
        <f>现金流量表!D44</f>
        <v>260</v>
      </c>
      <c r="G40" s="345">
        <f>现金流量表!E44</f>
        <v>346.2</v>
      </c>
      <c r="H40" s="345">
        <f>现金流量表!F44</f>
        <v>459.72</v>
      </c>
      <c r="I40" s="345">
        <f>现金流量表!G44</f>
        <v>259.3</v>
      </c>
      <c r="J40" s="447">
        <f>J72+BS!I45-BS!H45</f>
        <v>-218.22846228516897</v>
      </c>
      <c r="K40" s="447">
        <f>K72+BS!J45-BS!I45</f>
        <v>7.7039798869887477</v>
      </c>
      <c r="L40" s="447">
        <f>L72+BS!K45-BS!J45</f>
        <v>10.970838360262796</v>
      </c>
      <c r="M40" s="447">
        <f>M72+BS!L45-BS!K45</f>
        <v>14.559453407278916</v>
      </c>
      <c r="N40" s="447">
        <f>N72+BS!M45-BS!L45</f>
        <v>19.536896723674488</v>
      </c>
      <c r="O40" s="57"/>
      <c r="P40" s="66"/>
      <c r="Q40" s="67"/>
      <c r="R40" s="67"/>
      <c r="S40" s="233"/>
    </row>
    <row r="41" spans="2:19" ht="24.95" customHeight="1">
      <c r="B41" s="249"/>
      <c r="C41" s="369"/>
      <c r="D41" s="355" t="s">
        <v>554</v>
      </c>
      <c r="E41" s="345">
        <f>-现金流量表!C50</f>
        <v>0</v>
      </c>
      <c r="F41" s="345">
        <f>-现金流量表!D50</f>
        <v>-198</v>
      </c>
      <c r="G41" s="345">
        <f>-现金流量表!E50</f>
        <v>-110</v>
      </c>
      <c r="H41" s="345">
        <f>-现金流量表!F50</f>
        <v>-533.79</v>
      </c>
      <c r="I41" s="345">
        <f>-现金流量表!G50</f>
        <v>-289.60000000000002</v>
      </c>
      <c r="J41" s="448"/>
      <c r="K41" s="448"/>
      <c r="L41" s="448"/>
      <c r="M41" s="448"/>
      <c r="N41" s="448"/>
      <c r="O41" s="57"/>
      <c r="P41" s="66"/>
      <c r="Q41" s="67"/>
      <c r="R41" s="67"/>
      <c r="S41" s="233"/>
    </row>
    <row r="42" spans="2:19" ht="24.95" customHeight="1">
      <c r="B42" s="249"/>
      <c r="C42" s="364"/>
      <c r="D42" s="355" t="s">
        <v>555</v>
      </c>
      <c r="E42" s="345"/>
      <c r="F42" s="345"/>
      <c r="G42" s="345"/>
      <c r="H42" s="345"/>
      <c r="I42" s="345"/>
      <c r="J42" s="368"/>
      <c r="K42" s="368"/>
      <c r="L42" s="368"/>
      <c r="M42" s="368"/>
      <c r="N42" s="368"/>
      <c r="O42" s="57"/>
      <c r="P42" s="66"/>
      <c r="Q42" s="67"/>
      <c r="R42" s="67"/>
      <c r="S42" s="233"/>
    </row>
    <row r="43" spans="2:19" ht="24.95" customHeight="1">
      <c r="B43" s="249"/>
      <c r="C43" s="364"/>
      <c r="D43" s="355" t="s">
        <v>556</v>
      </c>
      <c r="E43" s="345">
        <f>现金流量表!C45</f>
        <v>0</v>
      </c>
      <c r="F43" s="345">
        <f>现金流量表!D45</f>
        <v>0</v>
      </c>
      <c r="G43" s="345">
        <f>现金流量表!E45</f>
        <v>0</v>
      </c>
      <c r="H43" s="345">
        <f>现金流量表!F45</f>
        <v>0</v>
      </c>
      <c r="I43" s="345">
        <f>现金流量表!G45</f>
        <v>0</v>
      </c>
      <c r="J43" s="368"/>
      <c r="K43" s="368"/>
      <c r="L43" s="368"/>
      <c r="M43" s="368"/>
      <c r="N43" s="368"/>
      <c r="O43" s="57"/>
      <c r="P43" s="66"/>
      <c r="Q43" s="67"/>
      <c r="R43" s="67"/>
      <c r="S43" s="233"/>
    </row>
    <row r="44" spans="2:19" ht="24.95" customHeight="1">
      <c r="B44" s="249"/>
      <c r="C44" s="364"/>
      <c r="D44" s="355" t="s">
        <v>557</v>
      </c>
      <c r="E44" s="345">
        <f>-现金流量表!C51</f>
        <v>-70.930000000000007</v>
      </c>
      <c r="F44" s="345">
        <f>-现金流量表!D51</f>
        <v>-144.07</v>
      </c>
      <c r="G44" s="345">
        <f>-现金流量表!E51</f>
        <v>-76.44</v>
      </c>
      <c r="H44" s="345">
        <f>-现金流量表!F51</f>
        <v>-82.6</v>
      </c>
      <c r="I44" s="345">
        <f>-现金流量表!G51</f>
        <v>-94.94</v>
      </c>
      <c r="J44" s="345">
        <f>-资产负债假设!J37</f>
        <v>-94.660859307186271</v>
      </c>
      <c r="K44" s="345">
        <f>-资产负债假设!K37</f>
        <v>-111.52600397631559</v>
      </c>
      <c r="L44" s="345">
        <f>-资产负债假设!L37</f>
        <v>-142.00595121600387</v>
      </c>
      <c r="M44" s="345">
        <f>-资产负债假设!M37</f>
        <v>-182.55084075122684</v>
      </c>
      <c r="N44" s="345">
        <f>-资产负债假设!N37</f>
        <v>-235.17529486733662</v>
      </c>
      <c r="O44" s="57"/>
      <c r="P44" s="66"/>
      <c r="Q44" s="67"/>
      <c r="R44" s="67"/>
      <c r="S44" s="233"/>
    </row>
    <row r="45" spans="2:19" ht="24.95" customHeight="1">
      <c r="B45" s="249"/>
      <c r="C45" s="364"/>
      <c r="D45" s="355" t="s">
        <v>558</v>
      </c>
      <c r="E45" s="345">
        <f>-现金流量表!C52</f>
        <v>-0.13</v>
      </c>
      <c r="F45" s="345">
        <f>-现金流量表!D52</f>
        <v>0</v>
      </c>
      <c r="G45" s="345">
        <f>-现金流量表!E52</f>
        <v>0</v>
      </c>
      <c r="H45" s="345">
        <f>-现金流量表!F52</f>
        <v>-1.35</v>
      </c>
      <c r="I45" s="345">
        <f>-现金流量表!G52</f>
        <v>-1.35</v>
      </c>
      <c r="J45" s="368"/>
      <c r="K45" s="368"/>
      <c r="L45" s="368"/>
      <c r="M45" s="368"/>
      <c r="N45" s="368"/>
      <c r="O45" s="57"/>
      <c r="P45" s="66"/>
      <c r="Q45" s="67"/>
      <c r="R45" s="67"/>
      <c r="S45" s="233"/>
    </row>
    <row r="46" spans="2:19" ht="24.95" customHeight="1">
      <c r="B46" s="249"/>
      <c r="C46" s="364"/>
      <c r="D46" s="355" t="s">
        <v>559</v>
      </c>
      <c r="E46" s="345">
        <f>-现金流量表!C53</f>
        <v>0</v>
      </c>
      <c r="F46" s="345">
        <f>-现金流量表!D53</f>
        <v>0</v>
      </c>
      <c r="G46" s="345">
        <f>-现金流量表!E53</f>
        <v>-5.25</v>
      </c>
      <c r="H46" s="345">
        <f>-现金流量表!F53</f>
        <v>-5.14</v>
      </c>
      <c r="I46" s="345">
        <f>-现金流量表!G53</f>
        <v>-0.27</v>
      </c>
      <c r="J46" s="368"/>
      <c r="K46" s="368"/>
      <c r="L46" s="368"/>
      <c r="M46" s="368"/>
      <c r="N46" s="368"/>
      <c r="O46" s="57"/>
      <c r="P46" s="66"/>
      <c r="Q46" s="67"/>
      <c r="R46" s="67"/>
      <c r="S46" s="233"/>
    </row>
    <row r="47" spans="2:19" ht="24.95" customHeight="1">
      <c r="B47" s="249"/>
      <c r="C47" s="364"/>
      <c r="D47" s="364" t="s">
        <v>560</v>
      </c>
      <c r="E47" s="345">
        <f>SUM(E38:E46)-E39-E45</f>
        <v>-69.930000000000007</v>
      </c>
      <c r="F47" s="345">
        <f t="shared" ref="F47:I47" si="7">SUM(F38:F46)-F39-F45</f>
        <v>-81.069999999999993</v>
      </c>
      <c r="G47" s="345">
        <f t="shared" si="7"/>
        <v>162.38</v>
      </c>
      <c r="H47" s="345">
        <f t="shared" si="7"/>
        <v>930.67000000000019</v>
      </c>
      <c r="I47" s="345">
        <f t="shared" si="7"/>
        <v>-124.53000000000003</v>
      </c>
      <c r="J47" s="345">
        <f t="shared" ref="J47:N47" si="8">SUM(J38:J46)-J39-J45</f>
        <v>-312.8893215923552</v>
      </c>
      <c r="K47" s="345">
        <f t="shared" si="8"/>
        <v>-103.82202408932685</v>
      </c>
      <c r="L47" s="345">
        <f t="shared" si="8"/>
        <v>-131.03511285574106</v>
      </c>
      <c r="M47" s="345">
        <f t="shared" si="8"/>
        <v>-167.99138734394793</v>
      </c>
      <c r="N47" s="345">
        <f t="shared" si="8"/>
        <v>-215.63839814366213</v>
      </c>
      <c r="O47" s="57"/>
      <c r="P47" s="66"/>
      <c r="Q47" s="67"/>
      <c r="R47" s="67"/>
      <c r="S47" s="233"/>
    </row>
    <row r="48" spans="2:19" ht="24.95" customHeight="1">
      <c r="B48" s="249"/>
      <c r="C48" s="356"/>
      <c r="D48" s="35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57" t="s">
        <v>392</v>
      </c>
      <c r="P48" s="67"/>
      <c r="Q48" s="67"/>
      <c r="R48" s="67"/>
      <c r="S48" s="233" t="s">
        <v>392</v>
      </c>
    </row>
    <row r="49" spans="2:19" ht="24.95" customHeight="1">
      <c r="B49" s="249"/>
      <c r="C49" s="364" t="s">
        <v>561</v>
      </c>
      <c r="D49" s="355"/>
      <c r="E49" s="345">
        <f>现金流量表!C59</f>
        <v>-0.97</v>
      </c>
      <c r="F49" s="345">
        <f>现金流量表!D59</f>
        <v>2.11</v>
      </c>
      <c r="G49" s="345">
        <f>现金流量表!E59</f>
        <v>1.93</v>
      </c>
      <c r="H49" s="345">
        <f>现金流量表!F59</f>
        <v>5.25</v>
      </c>
      <c r="I49" s="345">
        <f>现金流量表!G59</f>
        <v>-6.4</v>
      </c>
      <c r="J49" s="345"/>
      <c r="K49" s="345"/>
      <c r="L49" s="345"/>
      <c r="M49" s="345"/>
      <c r="N49" s="345"/>
      <c r="O49" s="57"/>
      <c r="P49" s="67"/>
      <c r="Q49" s="67"/>
      <c r="R49" s="67"/>
      <c r="S49" s="233"/>
    </row>
    <row r="50" spans="2:19" ht="24.95" customHeight="1">
      <c r="B50" s="249"/>
      <c r="C50" s="370" t="s">
        <v>316</v>
      </c>
      <c r="D50" s="355"/>
      <c r="E50" s="345">
        <f>E25+E36+E47+E49</f>
        <v>-5.1400000000000157</v>
      </c>
      <c r="F50" s="345">
        <f t="shared" ref="F50:I50" si="9">F25+F36+F47+F49</f>
        <v>62.509999999999977</v>
      </c>
      <c r="G50" s="345">
        <f t="shared" si="9"/>
        <v>-12.359999999999992</v>
      </c>
      <c r="H50" s="345">
        <f t="shared" si="9"/>
        <v>228.5200000000001</v>
      </c>
      <c r="I50" s="345">
        <f t="shared" si="9"/>
        <v>-168.72999999999985</v>
      </c>
      <c r="J50" s="345">
        <f>J25+J36+J47+J49</f>
        <v>-288.28846624940439</v>
      </c>
      <c r="K50" s="345">
        <f t="shared" ref="K50:N50" si="10">K25+K36+K47+K49</f>
        <v>67.689253942388149</v>
      </c>
      <c r="L50" s="345">
        <f t="shared" si="10"/>
        <v>54.764067660101347</v>
      </c>
      <c r="M50" s="345">
        <f t="shared" si="10"/>
        <v>49.147011094623878</v>
      </c>
      <c r="N50" s="345">
        <f t="shared" si="10"/>
        <v>37.601077519005571</v>
      </c>
      <c r="O50" s="57">
        <v>0</v>
      </c>
      <c r="P50" s="67"/>
      <c r="Q50" s="67"/>
      <c r="R50" s="67"/>
      <c r="S50" s="233"/>
    </row>
    <row r="51" spans="2:19" ht="24.95" customHeight="1">
      <c r="B51" s="249"/>
      <c r="C51" s="371" t="s">
        <v>562</v>
      </c>
      <c r="D51" s="355"/>
      <c r="E51" s="372">
        <f>现金流量表!C63</f>
        <v>541.53</v>
      </c>
      <c r="F51" s="372">
        <f>现金流量表!D63</f>
        <v>536.37</v>
      </c>
      <c r="G51" s="372">
        <f>现金流量表!E63</f>
        <v>598.88</v>
      </c>
      <c r="H51" s="372">
        <f>现金流量表!F63</f>
        <v>586.53</v>
      </c>
      <c r="I51" s="372">
        <f>现金流量表!G63</f>
        <v>815.05</v>
      </c>
      <c r="J51" s="372">
        <f>BS!H8</f>
        <v>693.44</v>
      </c>
      <c r="K51" s="372">
        <f>BS!I8</f>
        <v>405.15153375059566</v>
      </c>
      <c r="L51" s="372">
        <f>BS!J8</f>
        <v>472.84078769298378</v>
      </c>
      <c r="M51" s="372">
        <f>BS!K8</f>
        <v>527.6048553530851</v>
      </c>
      <c r="N51" s="372">
        <f>BS!L8</f>
        <v>576.75186644770895</v>
      </c>
      <c r="O51" s="57"/>
      <c r="P51" s="67"/>
      <c r="Q51" s="67"/>
      <c r="R51" s="67"/>
      <c r="S51" s="233"/>
    </row>
    <row r="52" spans="2:19" ht="24.95" customHeight="1">
      <c r="B52" s="249"/>
      <c r="C52" s="355" t="s">
        <v>563</v>
      </c>
      <c r="D52" s="355"/>
      <c r="E52" s="372">
        <f>E50+E51</f>
        <v>536.39</v>
      </c>
      <c r="F52" s="372">
        <f t="shared" ref="F52:I52" si="11">F50+F51</f>
        <v>598.88</v>
      </c>
      <c r="G52" s="372">
        <f t="shared" si="11"/>
        <v>586.52</v>
      </c>
      <c r="H52" s="372">
        <f t="shared" si="11"/>
        <v>815.05000000000007</v>
      </c>
      <c r="I52" s="372">
        <f t="shared" si="11"/>
        <v>646.32000000000016</v>
      </c>
      <c r="J52" s="372">
        <f>J51+J50</f>
        <v>405.15153375059566</v>
      </c>
      <c r="K52" s="372">
        <f t="shared" ref="K52:N52" si="12">K51+K50</f>
        <v>472.84078769298378</v>
      </c>
      <c r="L52" s="372">
        <f t="shared" si="12"/>
        <v>527.6048553530851</v>
      </c>
      <c r="M52" s="372">
        <f t="shared" si="12"/>
        <v>576.75186644770895</v>
      </c>
      <c r="N52" s="372">
        <f t="shared" si="12"/>
        <v>614.35294396671452</v>
      </c>
      <c r="O52" s="57"/>
      <c r="P52" s="67"/>
      <c r="Q52" s="67"/>
      <c r="R52" s="67"/>
      <c r="S52" s="233"/>
    </row>
    <row r="53" spans="2:19" ht="24.95" customHeight="1">
      <c r="B53" s="249"/>
      <c r="C53" s="373"/>
      <c r="D53" s="374"/>
      <c r="E53" s="375"/>
      <c r="F53" s="375"/>
      <c r="G53" s="375"/>
      <c r="H53" s="375"/>
      <c r="I53" s="375"/>
      <c r="J53" s="376"/>
      <c r="K53" s="376"/>
      <c r="L53" s="376"/>
      <c r="M53" s="376"/>
      <c r="N53" s="377"/>
      <c r="O53" s="57"/>
      <c r="P53" s="74"/>
      <c r="Q53" s="74"/>
      <c r="R53" s="74"/>
      <c r="S53" s="233"/>
    </row>
    <row r="54" spans="2:19" ht="24.95" customHeight="1">
      <c r="B54" s="249"/>
      <c r="C54" s="454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6"/>
      <c r="O54" s="57"/>
      <c r="S54" s="233"/>
    </row>
    <row r="55" spans="2:19" ht="24.95" customHeight="1">
      <c r="B55" s="249"/>
      <c r="C55" s="364" t="s">
        <v>564</v>
      </c>
      <c r="D55" s="378"/>
      <c r="E55" s="378"/>
      <c r="F55" s="378"/>
      <c r="G55" s="378"/>
      <c r="H55" s="378"/>
      <c r="I55" s="378"/>
      <c r="J55" s="345"/>
      <c r="K55" s="345"/>
      <c r="L55" s="345"/>
      <c r="M55" s="345" t="s">
        <v>392</v>
      </c>
      <c r="N55" s="345"/>
      <c r="O55" s="57"/>
      <c r="P55" s="68"/>
      <c r="Q55" s="68"/>
      <c r="R55" s="68"/>
      <c r="S55" s="233"/>
    </row>
    <row r="56" spans="2:19" ht="24.95" customHeight="1">
      <c r="B56" s="249"/>
      <c r="C56" s="378"/>
      <c r="D56" s="379" t="s">
        <v>565</v>
      </c>
      <c r="E56" s="379"/>
      <c r="F56" s="379"/>
      <c r="G56" s="379"/>
      <c r="H56" s="379"/>
      <c r="I56" s="379"/>
      <c r="J56" s="345"/>
      <c r="K56" s="345"/>
      <c r="L56" s="345"/>
      <c r="M56" s="345"/>
      <c r="N56" s="345"/>
      <c r="O56" s="57"/>
      <c r="P56" s="69"/>
      <c r="Q56" s="69"/>
      <c r="R56" s="69"/>
      <c r="S56" s="233"/>
    </row>
    <row r="57" spans="2:19" ht="24.95" customHeight="1">
      <c r="B57" s="249"/>
      <c r="C57" s="378"/>
      <c r="D57" s="379" t="s">
        <v>566</v>
      </c>
      <c r="E57" s="379"/>
      <c r="F57" s="379"/>
      <c r="G57" s="379"/>
      <c r="H57" s="379"/>
      <c r="I57" s="379"/>
      <c r="J57" s="345">
        <f>BS!H45</f>
        <v>0</v>
      </c>
      <c r="K57" s="345">
        <f>BS!I45</f>
        <v>0</v>
      </c>
      <c r="L57" s="345">
        <f>BS!J45</f>
        <v>0</v>
      </c>
      <c r="M57" s="345">
        <f>BS!K45</f>
        <v>0</v>
      </c>
      <c r="N57" s="345">
        <f>BS!L45</f>
        <v>0</v>
      </c>
      <c r="O57" s="57"/>
      <c r="P57" s="69"/>
      <c r="Q57" s="69"/>
      <c r="R57" s="69"/>
      <c r="S57" s="233"/>
    </row>
    <row r="58" spans="2:19" ht="24.95" customHeight="1">
      <c r="B58" s="249"/>
      <c r="C58" s="378"/>
      <c r="D58" s="379" t="s">
        <v>567</v>
      </c>
      <c r="E58" s="379"/>
      <c r="F58" s="379"/>
      <c r="G58" s="379"/>
      <c r="H58" s="379"/>
      <c r="I58" s="379"/>
      <c r="J58" s="345">
        <f>(BS!I31)*资产负债假设!$J$51-BS!H45</f>
        <v>0</v>
      </c>
      <c r="K58" s="345">
        <f>(BS!J31)*资产负债假设!$J$51-BS!I45</f>
        <v>0</v>
      </c>
      <c r="L58" s="345">
        <f>(BS!K31)*资产负债假设!$J$51-BS!J45</f>
        <v>0</v>
      </c>
      <c r="M58" s="345">
        <f>(BS!L31)*资产负债假设!$J$51-BS!K45</f>
        <v>0</v>
      </c>
      <c r="N58" s="345">
        <f>(BS!M31)*资产负债假设!$J$51-BS!L45</f>
        <v>0</v>
      </c>
      <c r="O58" s="75"/>
      <c r="P58" s="69"/>
      <c r="Q58" s="69"/>
      <c r="R58" s="69"/>
      <c r="S58" s="253"/>
    </row>
    <row r="59" spans="2:19" ht="24.95" customHeight="1">
      <c r="B59" s="249"/>
      <c r="C59" s="378"/>
      <c r="D59" s="379" t="s">
        <v>568</v>
      </c>
      <c r="E59" s="379"/>
      <c r="F59" s="379"/>
      <c r="G59" s="379"/>
      <c r="H59" s="379"/>
      <c r="I59" s="379"/>
      <c r="J59" s="345">
        <f t="shared" ref="J59:N59" si="13">J57+J58</f>
        <v>0</v>
      </c>
      <c r="K59" s="345">
        <f t="shared" si="13"/>
        <v>0</v>
      </c>
      <c r="L59" s="345">
        <f t="shared" si="13"/>
        <v>0</v>
      </c>
      <c r="M59" s="345">
        <f t="shared" si="13"/>
        <v>0</v>
      </c>
      <c r="N59" s="345">
        <f t="shared" si="13"/>
        <v>0</v>
      </c>
      <c r="O59" s="57"/>
      <c r="P59" s="69"/>
      <c r="Q59" s="69"/>
      <c r="R59" s="69"/>
      <c r="S59" s="233"/>
    </row>
    <row r="60" spans="2:19" ht="24.95" customHeight="1">
      <c r="B60" s="249"/>
      <c r="C60" s="378"/>
      <c r="D60" s="379" t="s">
        <v>569</v>
      </c>
      <c r="E60" s="379"/>
      <c r="F60" s="379"/>
      <c r="G60" s="379"/>
      <c r="H60" s="379"/>
      <c r="I60" s="379"/>
      <c r="J60" s="345">
        <f>资产负债假设!$J$52*(J57+J59)/2*资产负债假设!$J$54</f>
        <v>0</v>
      </c>
      <c r="K60" s="345">
        <f>资产负债假设!$J$52*(K57+K59)/2*资产负债假设!$J$54</f>
        <v>0</v>
      </c>
      <c r="L60" s="345">
        <f>资产负债假设!$J$52*(L57+L59)/2*资产负债假设!$J$54</f>
        <v>0</v>
      </c>
      <c r="M60" s="345">
        <f>资产负债假设!$J$52*(M57+M59)/2*资产负债假设!$J$54</f>
        <v>0</v>
      </c>
      <c r="N60" s="345">
        <f>资产负债假设!$J$52*(N57+N59)/2*资产负债假设!$J$54</f>
        <v>0</v>
      </c>
      <c r="O60" s="57"/>
      <c r="P60" s="69"/>
      <c r="Q60" s="69"/>
      <c r="R60" s="69"/>
      <c r="S60" s="233"/>
    </row>
    <row r="61" spans="2:19" ht="24.95" customHeight="1">
      <c r="B61" s="249"/>
      <c r="C61" s="378"/>
      <c r="D61" s="379" t="s">
        <v>570</v>
      </c>
      <c r="E61" s="379"/>
      <c r="F61" s="379"/>
      <c r="G61" s="379"/>
      <c r="H61" s="379"/>
      <c r="I61" s="379"/>
      <c r="J61" s="345"/>
      <c r="K61" s="345"/>
      <c r="L61" s="345"/>
      <c r="M61" s="345"/>
      <c r="N61" s="345"/>
      <c r="O61" s="57"/>
      <c r="P61" s="69"/>
      <c r="Q61" s="69"/>
      <c r="R61" s="69"/>
      <c r="S61" s="233"/>
    </row>
    <row r="62" spans="2:19" ht="24.95" customHeight="1">
      <c r="B62" s="249"/>
      <c r="C62" s="378"/>
      <c r="D62" s="379" t="s">
        <v>571</v>
      </c>
      <c r="E62" s="379"/>
      <c r="F62" s="379"/>
      <c r="G62" s="379"/>
      <c r="H62" s="379"/>
      <c r="I62" s="379"/>
      <c r="J62" s="345">
        <f>J51</f>
        <v>693.44</v>
      </c>
      <c r="K62" s="345">
        <f t="shared" ref="K62:N62" si="14">K51</f>
        <v>405.15153375059566</v>
      </c>
      <c r="L62" s="345">
        <f t="shared" si="14"/>
        <v>472.84078769298378</v>
      </c>
      <c r="M62" s="345">
        <f t="shared" si="14"/>
        <v>527.6048553530851</v>
      </c>
      <c r="N62" s="345">
        <f t="shared" si="14"/>
        <v>576.75186644770895</v>
      </c>
      <c r="O62" s="57"/>
      <c r="P62" s="69"/>
      <c r="Q62" s="69"/>
      <c r="R62" s="69"/>
      <c r="S62" s="233"/>
    </row>
    <row r="63" spans="2:19" ht="24.95" customHeight="1">
      <c r="B63" s="249"/>
      <c r="C63" s="378"/>
      <c r="D63" s="380" t="s">
        <v>572</v>
      </c>
      <c r="E63" s="380"/>
      <c r="F63" s="380"/>
      <c r="G63" s="380"/>
      <c r="H63" s="380"/>
      <c r="I63" s="380"/>
      <c r="J63" s="345"/>
      <c r="K63" s="345"/>
      <c r="L63" s="345"/>
      <c r="M63" s="345"/>
      <c r="N63" s="345"/>
      <c r="O63" s="57"/>
      <c r="P63" s="76"/>
      <c r="Q63" s="76"/>
      <c r="R63" s="76"/>
      <c r="S63" s="233"/>
    </row>
    <row r="64" spans="2:19" ht="24.95" customHeight="1">
      <c r="B64" s="249"/>
      <c r="C64" s="378"/>
      <c r="D64" s="381" t="s">
        <v>573</v>
      </c>
      <c r="E64" s="379"/>
      <c r="F64" s="379"/>
      <c r="G64" s="379"/>
      <c r="H64" s="379"/>
      <c r="I64" s="379"/>
      <c r="J64" s="345">
        <f>J25</f>
        <v>72.570022009617475</v>
      </c>
      <c r="K64" s="345">
        <f t="shared" ref="K64:N64" si="15">K25</f>
        <v>222.81068707513725</v>
      </c>
      <c r="L64" s="345">
        <f t="shared" si="15"/>
        <v>240.81783221935291</v>
      </c>
      <c r="M64" s="345">
        <f t="shared" si="15"/>
        <v>276.27687196054887</v>
      </c>
      <c r="N64" s="345">
        <f t="shared" si="15"/>
        <v>316.91059628266925</v>
      </c>
      <c r="O64" s="57"/>
      <c r="P64" s="69"/>
      <c r="Q64" s="69"/>
      <c r="R64" s="69"/>
      <c r="S64" s="233"/>
    </row>
    <row r="65" spans="2:19" ht="24.95" customHeight="1">
      <c r="B65" s="249"/>
      <c r="C65" s="378"/>
      <c r="D65" s="381" t="s">
        <v>574</v>
      </c>
      <c r="E65" s="379"/>
      <c r="F65" s="379"/>
      <c r="G65" s="379"/>
      <c r="H65" s="379"/>
      <c r="I65" s="379"/>
      <c r="J65" s="345">
        <f>J36</f>
        <v>-47.969166666666652</v>
      </c>
      <c r="K65" s="345">
        <f t="shared" ref="K65:N65" si="16">K36</f>
        <v>-51.299409043422251</v>
      </c>
      <c r="L65" s="345">
        <f t="shared" si="16"/>
        <v>-55.018651703510493</v>
      </c>
      <c r="M65" s="345">
        <f t="shared" si="16"/>
        <v>-59.138473521977048</v>
      </c>
      <c r="N65" s="345">
        <f t="shared" si="16"/>
        <v>-63.671120620001552</v>
      </c>
      <c r="O65" s="57"/>
      <c r="P65" s="69"/>
      <c r="Q65" s="69"/>
      <c r="R65" s="69"/>
      <c r="S65" s="233"/>
    </row>
    <row r="66" spans="2:19" ht="24.95" customHeight="1">
      <c r="B66" s="249"/>
      <c r="C66" s="378"/>
      <c r="D66" s="381" t="s">
        <v>575</v>
      </c>
      <c r="E66" s="379"/>
      <c r="F66" s="379"/>
      <c r="G66" s="379"/>
      <c r="H66" s="379"/>
      <c r="I66" s="379"/>
      <c r="J66" s="345">
        <f>J38+J43+J42+J46+J44+BS!I45-BS!H45</f>
        <v>-94.660859307186271</v>
      </c>
      <c r="K66" s="345">
        <f>K38+K43+K42+K46+K44+BS!J45-BS!I45</f>
        <v>-111.52600397631559</v>
      </c>
      <c r="L66" s="345">
        <f>L38+L43+L42+L46+L44+BS!K45-BS!J45</f>
        <v>-142.00595121600387</v>
      </c>
      <c r="M66" s="345">
        <f>M38+M43+M42+M46+M44+BS!L45-BS!K45</f>
        <v>-182.55084075122684</v>
      </c>
      <c r="N66" s="345">
        <f>N38+N43+N42+N46+N44+BS!M45-BS!L45</f>
        <v>-235.17529486733662</v>
      </c>
      <c r="O66" s="57"/>
      <c r="P66" s="69"/>
      <c r="Q66" s="69"/>
      <c r="R66" s="69"/>
      <c r="S66" s="233"/>
    </row>
    <row r="67" spans="2:19" ht="24.95" customHeight="1">
      <c r="B67" s="249"/>
      <c r="C67" s="378"/>
      <c r="D67" s="379" t="s">
        <v>576</v>
      </c>
      <c r="E67" s="379"/>
      <c r="F67" s="379"/>
      <c r="G67" s="379"/>
      <c r="H67" s="379"/>
      <c r="I67" s="379"/>
      <c r="J67" s="345">
        <f>IS!I7*资产负债假设!$J$46</f>
        <v>223.05565280131327</v>
      </c>
      <c r="K67" s="345">
        <f>IS!J7*资产负债假设!$J$46</f>
        <v>264.56175034524301</v>
      </c>
      <c r="L67" s="345">
        <f>IS!K7*资产负债假设!$J$46</f>
        <v>323.66843206034014</v>
      </c>
      <c r="M67" s="345">
        <f>IS!L7*资产负债假设!$J$46</f>
        <v>402.10919932265233</v>
      </c>
      <c r="N67" s="345">
        <f>IS!M7*资产负债假设!$J$46</f>
        <v>507.36652774429632</v>
      </c>
      <c r="O67" s="57"/>
      <c r="P67" s="69"/>
      <c r="Q67" s="69"/>
      <c r="R67" s="69"/>
      <c r="S67" s="233"/>
    </row>
    <row r="68" spans="2:19" ht="24.95" customHeight="1">
      <c r="B68" s="249"/>
      <c r="C68" s="378"/>
      <c r="D68" s="379" t="s">
        <v>577</v>
      </c>
      <c r="E68" s="379"/>
      <c r="F68" s="379"/>
      <c r="G68" s="379"/>
      <c r="H68" s="379"/>
      <c r="I68" s="379"/>
      <c r="J68" s="345">
        <f>J62+J64+J65+J66-J67-J71</f>
        <v>140.69434323445137</v>
      </c>
      <c r="K68" s="345">
        <f t="shared" ref="K68:N68" si="17">K62+K64+K65+K66-K67-K71</f>
        <v>159.17351974592106</v>
      </c>
      <c r="L68" s="345">
        <f t="shared" si="17"/>
        <v>143.86006733066245</v>
      </c>
      <c r="M68" s="345">
        <f t="shared" si="17"/>
        <v>100.00685775569519</v>
      </c>
      <c r="N68" s="345">
        <f t="shared" si="17"/>
        <v>12.813710129382159</v>
      </c>
      <c r="O68" s="57">
        <v>0</v>
      </c>
      <c r="P68" s="69"/>
      <c r="Q68" s="69"/>
      <c r="R68" s="69"/>
      <c r="S68" s="233"/>
    </row>
    <row r="69" spans="2:19" ht="24.95" customHeight="1">
      <c r="B69" s="249"/>
      <c r="C69" s="378"/>
      <c r="D69" s="379" t="s">
        <v>578</v>
      </c>
      <c r="E69" s="379"/>
      <c r="F69" s="379"/>
      <c r="G69" s="379"/>
      <c r="H69" s="379"/>
      <c r="I69" s="379"/>
      <c r="J69" s="345">
        <f>资产负债假设!$J$49*(BS!I10+BS!I11)</f>
        <v>41.401537714831036</v>
      </c>
      <c r="K69" s="345">
        <f>资产负债假设!$J$49*(BS!J10+BS!J11)</f>
        <v>49.105517601819784</v>
      </c>
      <c r="L69" s="345">
        <f>资产负债假设!$J$49*(BS!K10+BS!K11)</f>
        <v>60.07635596208258</v>
      </c>
      <c r="M69" s="345">
        <f>资产负债假设!$J$49*(BS!L10+BS!L11)</f>
        <v>74.635809369361496</v>
      </c>
      <c r="N69" s="345">
        <f>资产负债假设!$J$49*(BS!M10+BS!M11)</f>
        <v>94.172706093035984</v>
      </c>
      <c r="O69" s="57"/>
      <c r="P69" s="69"/>
      <c r="Q69" s="69"/>
      <c r="R69" s="69"/>
      <c r="S69" s="233"/>
    </row>
    <row r="70" spans="2:19" ht="24.95" customHeight="1">
      <c r="B70" s="249"/>
      <c r="C70" s="378"/>
      <c r="D70" s="379" t="s">
        <v>579</v>
      </c>
      <c r="E70" s="379"/>
      <c r="F70" s="379"/>
      <c r="G70" s="379"/>
      <c r="H70" s="379"/>
      <c r="I70" s="379"/>
      <c r="J70" s="382">
        <f>MAX(-J68,J69)</f>
        <v>41.401537714831036</v>
      </c>
      <c r="K70" s="382">
        <f t="shared" ref="K70:N70" si="18">MAX(-K68,K69)</f>
        <v>49.105517601819784</v>
      </c>
      <c r="L70" s="382">
        <f t="shared" si="18"/>
        <v>60.07635596208258</v>
      </c>
      <c r="M70" s="382">
        <f t="shared" si="18"/>
        <v>74.635809369361496</v>
      </c>
      <c r="N70" s="382">
        <f t="shared" si="18"/>
        <v>94.172706093035984</v>
      </c>
      <c r="O70" s="57"/>
      <c r="P70" s="69"/>
      <c r="Q70" s="69"/>
      <c r="R70" s="69"/>
      <c r="S70" s="233"/>
    </row>
    <row r="71" spans="2:19" ht="24.95" customHeight="1">
      <c r="B71" s="249"/>
      <c r="C71" s="378"/>
      <c r="D71" s="379" t="s">
        <v>580</v>
      </c>
      <c r="E71" s="379"/>
      <c r="F71" s="379"/>
      <c r="G71" s="379"/>
      <c r="H71" s="379"/>
      <c r="I71" s="379"/>
      <c r="J71" s="345">
        <f>BS!H34</f>
        <v>259.63</v>
      </c>
      <c r="K71" s="345">
        <f>BS!I34</f>
        <v>41.401537714831036</v>
      </c>
      <c r="L71" s="345">
        <f>BS!J34</f>
        <v>49.105517601819784</v>
      </c>
      <c r="M71" s="345">
        <f>BS!K34</f>
        <v>60.07635596208258</v>
      </c>
      <c r="N71" s="345">
        <f>BS!L34</f>
        <v>74.635809369361496</v>
      </c>
      <c r="O71" s="57"/>
      <c r="P71" s="69"/>
      <c r="Q71" s="69"/>
      <c r="R71" s="69"/>
      <c r="S71" s="233"/>
    </row>
    <row r="72" spans="2:19" ht="24.95" customHeight="1">
      <c r="B72" s="249"/>
      <c r="C72" s="378"/>
      <c r="D72" s="379" t="s">
        <v>581</v>
      </c>
      <c r="E72" s="379"/>
      <c r="F72" s="379"/>
      <c r="G72" s="379"/>
      <c r="H72" s="379"/>
      <c r="I72" s="379"/>
      <c r="J72" s="345">
        <f t="shared" ref="J72:N72" si="19">J70-J71</f>
        <v>-218.22846228516897</v>
      </c>
      <c r="K72" s="345">
        <f t="shared" si="19"/>
        <v>7.7039798869887477</v>
      </c>
      <c r="L72" s="345">
        <f t="shared" si="19"/>
        <v>10.970838360262796</v>
      </c>
      <c r="M72" s="345">
        <f t="shared" si="19"/>
        <v>14.559453407278916</v>
      </c>
      <c r="N72" s="345">
        <f t="shared" si="19"/>
        <v>19.536896723674488</v>
      </c>
      <c r="O72" s="57"/>
      <c r="P72" s="69"/>
      <c r="Q72" s="69"/>
      <c r="R72" s="69"/>
      <c r="S72" s="233"/>
    </row>
    <row r="73" spans="2:19" ht="24.95" customHeight="1">
      <c r="B73" s="249"/>
      <c r="C73" s="378"/>
      <c r="D73" s="379" t="s">
        <v>582</v>
      </c>
      <c r="E73" s="379"/>
      <c r="F73" s="379"/>
      <c r="G73" s="379"/>
      <c r="H73" s="379"/>
      <c r="I73" s="379"/>
      <c r="J73" s="345">
        <f>资产负债假设!$J$50*(J71+J70)/2</f>
        <v>2.2577365328612324</v>
      </c>
      <c r="K73" s="345">
        <f>资产负债假设!$J$50*(K71+K70)/2</f>
        <v>0.67880291487488109</v>
      </c>
      <c r="L73" s="345">
        <f>资产负债假设!$J$50*(L71+L70)/2</f>
        <v>0.81886405172926779</v>
      </c>
      <c r="M73" s="345">
        <f>资产负债假设!$J$50*(M71+M70)/2</f>
        <v>1.0103412399858307</v>
      </c>
      <c r="N73" s="345">
        <f>资产负债假设!$J$50*(N71+N70)/2</f>
        <v>1.266063865967981</v>
      </c>
      <c r="O73" s="57"/>
      <c r="P73" s="69"/>
      <c r="Q73" s="69"/>
      <c r="R73" s="69"/>
      <c r="S73" s="233"/>
    </row>
    <row r="74" spans="2:19" ht="24.95" customHeight="1">
      <c r="B74" s="249"/>
      <c r="C74" s="378"/>
      <c r="D74" s="383" t="s">
        <v>583</v>
      </c>
      <c r="E74" s="379"/>
      <c r="F74" s="379"/>
      <c r="G74" s="379"/>
      <c r="H74" s="379"/>
      <c r="I74" s="379"/>
      <c r="J74" s="345">
        <f>J60+J73</f>
        <v>2.2577365328612324</v>
      </c>
      <c r="K74" s="345">
        <f t="shared" ref="K74:N74" si="20">K60+K73</f>
        <v>0.67880291487488109</v>
      </c>
      <c r="L74" s="345">
        <f t="shared" si="20"/>
        <v>0.81886405172926779</v>
      </c>
      <c r="M74" s="345">
        <f t="shared" si="20"/>
        <v>1.0103412399858307</v>
      </c>
      <c r="N74" s="345">
        <f t="shared" si="20"/>
        <v>1.266063865967981</v>
      </c>
      <c r="O74" s="57"/>
      <c r="P74" s="69"/>
      <c r="Q74" s="69"/>
      <c r="R74" s="69"/>
      <c r="S74" s="233"/>
    </row>
    <row r="75" spans="2:19" ht="24.95" customHeight="1">
      <c r="B75" s="249"/>
      <c r="C75" s="378"/>
      <c r="D75" s="379" t="s">
        <v>584</v>
      </c>
      <c r="E75" s="379"/>
      <c r="F75" s="379"/>
      <c r="G75" s="379"/>
      <c r="H75" s="379"/>
      <c r="I75" s="379"/>
      <c r="J75" s="345"/>
      <c r="K75" s="345"/>
      <c r="L75" s="345"/>
      <c r="M75" s="345"/>
      <c r="N75" s="345"/>
      <c r="O75" s="57"/>
      <c r="P75" s="69"/>
      <c r="Q75" s="69"/>
      <c r="R75" s="69"/>
      <c r="S75" s="233"/>
    </row>
    <row r="76" spans="2:19" ht="24.95" customHeight="1">
      <c r="B76" s="249"/>
      <c r="C76" s="378"/>
      <c r="D76" s="379" t="s">
        <v>566</v>
      </c>
      <c r="E76" s="379"/>
      <c r="F76" s="379"/>
      <c r="G76" s="379"/>
      <c r="H76" s="379"/>
      <c r="I76" s="379"/>
      <c r="J76" s="345">
        <f>J51</f>
        <v>693.44</v>
      </c>
      <c r="K76" s="345">
        <f t="shared" ref="K76:N76" si="21">K51</f>
        <v>405.15153375059566</v>
      </c>
      <c r="L76" s="345">
        <f t="shared" si="21"/>
        <v>472.84078769298378</v>
      </c>
      <c r="M76" s="345">
        <f t="shared" si="21"/>
        <v>527.6048553530851</v>
      </c>
      <c r="N76" s="345">
        <f t="shared" si="21"/>
        <v>576.75186644770895</v>
      </c>
      <c r="O76" s="57"/>
      <c r="P76" s="69"/>
      <c r="Q76" s="69"/>
      <c r="R76" s="69"/>
      <c r="S76" s="233"/>
    </row>
    <row r="77" spans="2:19" ht="24.95" customHeight="1">
      <c r="B77" s="249"/>
      <c r="C77" s="378"/>
      <c r="D77" s="379" t="s">
        <v>568</v>
      </c>
      <c r="E77" s="379"/>
      <c r="F77" s="379"/>
      <c r="G77" s="379"/>
      <c r="H77" s="379"/>
      <c r="I77" s="379"/>
      <c r="J77" s="345">
        <f t="shared" ref="J77:N77" si="22">J52</f>
        <v>405.15153375059566</v>
      </c>
      <c r="K77" s="345">
        <f t="shared" si="22"/>
        <v>472.84078769298378</v>
      </c>
      <c r="L77" s="345">
        <f t="shared" si="22"/>
        <v>527.6048553530851</v>
      </c>
      <c r="M77" s="345">
        <f t="shared" si="22"/>
        <v>576.75186644770895</v>
      </c>
      <c r="N77" s="345">
        <f t="shared" si="22"/>
        <v>614.35294396671452</v>
      </c>
      <c r="O77" s="57"/>
      <c r="P77" s="69"/>
      <c r="Q77" s="69"/>
      <c r="R77" s="69"/>
      <c r="S77" s="233"/>
    </row>
    <row r="78" spans="2:19" ht="24.95" customHeight="1">
      <c r="B78" s="249"/>
      <c r="C78" s="378"/>
      <c r="D78" s="379" t="s">
        <v>585</v>
      </c>
      <c r="E78" s="379"/>
      <c r="F78" s="379"/>
      <c r="G78" s="379"/>
      <c r="H78" s="379"/>
      <c r="I78" s="379"/>
      <c r="J78" s="372">
        <f>资产负债假设!$J$47*(J76+J77)/2</f>
        <v>12.084506871256552</v>
      </c>
      <c r="K78" s="372">
        <f>资产负债假设!$J$47*(K76+K77)/2</f>
        <v>9.657915535879372</v>
      </c>
      <c r="L78" s="372">
        <f>资产负债假设!$J$47*(L76+L77)/2</f>
        <v>11.004902073506758</v>
      </c>
      <c r="M78" s="372">
        <f>资产负债假设!$J$47*(M76+M77)/2</f>
        <v>12.147923939808734</v>
      </c>
      <c r="N78" s="372">
        <f>资产负债假设!$J$47*(N76+N77)/2</f>
        <v>13.102152914558657</v>
      </c>
      <c r="O78" s="57"/>
      <c r="P78" s="69"/>
      <c r="Q78" s="69"/>
      <c r="R78" s="69"/>
      <c r="S78" s="233"/>
    </row>
    <row r="79" spans="2:19" ht="24.95" customHeight="1">
      <c r="B79" s="249"/>
      <c r="C79" s="378"/>
      <c r="D79" s="379" t="s">
        <v>586</v>
      </c>
      <c r="E79" s="379"/>
      <c r="F79" s="379"/>
      <c r="G79" s="379"/>
      <c r="H79" s="379"/>
      <c r="I79" s="345"/>
      <c r="J79" s="345">
        <f>J74-J78</f>
        <v>-9.8267703383953204</v>
      </c>
      <c r="K79" s="345">
        <f t="shared" ref="K79:N79" si="23">K74-K78</f>
        <v>-8.9791126210044911</v>
      </c>
      <c r="L79" s="345">
        <f t="shared" si="23"/>
        <v>-10.18603802177749</v>
      </c>
      <c r="M79" s="345">
        <f t="shared" si="23"/>
        <v>-11.137582699822904</v>
      </c>
      <c r="N79" s="345">
        <f t="shared" si="23"/>
        <v>-11.836089048590676</v>
      </c>
      <c r="O79" s="67">
        <f t="shared" ref="O79:R79" si="24">O74-O78</f>
        <v>0</v>
      </c>
      <c r="P79" s="67">
        <f t="shared" si="24"/>
        <v>0</v>
      </c>
      <c r="Q79" s="67">
        <f t="shared" si="24"/>
        <v>0</v>
      </c>
      <c r="R79" s="67">
        <f t="shared" si="24"/>
        <v>0</v>
      </c>
      <c r="S79" s="253"/>
    </row>
    <row r="80" spans="2:19" ht="6" customHeight="1">
      <c r="B80" s="249"/>
      <c r="C80" s="249"/>
      <c r="D80" s="249"/>
      <c r="E80" s="233"/>
      <c r="F80" s="233"/>
      <c r="G80" s="233"/>
      <c r="H80" s="233"/>
      <c r="I80" s="233"/>
      <c r="J80" s="233"/>
      <c r="K80" s="233"/>
      <c r="L80" s="233" t="s">
        <v>392</v>
      </c>
      <c r="M80" s="233"/>
      <c r="N80" s="233"/>
      <c r="O80" s="57"/>
      <c r="P80" s="57"/>
      <c r="Q80" s="57"/>
      <c r="R80" s="57"/>
      <c r="S80" s="233"/>
    </row>
  </sheetData>
  <mergeCells count="21">
    <mergeCell ref="C54:N54"/>
    <mergeCell ref="J27:J29"/>
    <mergeCell ref="J30:J31"/>
    <mergeCell ref="J34:J35"/>
    <mergeCell ref="J40:J41"/>
    <mergeCell ref="K27:K29"/>
    <mergeCell ref="K30:K31"/>
    <mergeCell ref="K34:K35"/>
    <mergeCell ref="K40:K41"/>
    <mergeCell ref="L27:L29"/>
    <mergeCell ref="L30:L31"/>
    <mergeCell ref="L34:L35"/>
    <mergeCell ref="L40:L41"/>
    <mergeCell ref="M27:M29"/>
    <mergeCell ref="M30:M31"/>
    <mergeCell ref="M34:M35"/>
    <mergeCell ref="M40:M41"/>
    <mergeCell ref="N27:N29"/>
    <mergeCell ref="N30:N31"/>
    <mergeCell ref="N34:N35"/>
    <mergeCell ref="N40:N41"/>
  </mergeCells>
  <phoneticPr fontId="39" type="noConversion"/>
  <pageMargins left="0.7" right="0.7" top="0.75" bottom="0.75" header="0.3" footer="0.3"/>
  <pageSetup paperSize="9" orientation="portrait"/>
  <ignoredErrors>
    <ignoredError sqref="J72" evalErro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S64"/>
  <sheetViews>
    <sheetView showGridLines="0" zoomScale="85" zoomScaleNormal="85" workbookViewId="0">
      <pane ySplit="5" topLeftCell="A36" activePane="bottomLeft" state="frozen"/>
      <selection pane="bottomLeft" activeCell="J29" sqref="J29"/>
    </sheetView>
  </sheetViews>
  <sheetFormatPr defaultColWidth="8.875" defaultRowHeight="13.5"/>
  <cols>
    <col min="1" max="1" width="8.75" style="18" customWidth="1"/>
    <col min="2" max="2" width="0.875" style="18" customWidth="1"/>
    <col min="3" max="3" width="25.5" style="18" customWidth="1"/>
    <col min="4" max="4" width="12.25" style="18" customWidth="1"/>
    <col min="5" max="5" width="11.125" style="18" customWidth="1"/>
    <col min="6" max="6" width="12.375" style="18" customWidth="1"/>
    <col min="7" max="7" width="11.25" style="18" customWidth="1"/>
    <col min="8" max="8" width="10.625" style="18" customWidth="1"/>
    <col min="9" max="12" width="10.25" style="18" customWidth="1"/>
    <col min="13" max="13" width="11" style="18" customWidth="1"/>
    <col min="14" max="14" width="0.875" style="18" customWidth="1"/>
    <col min="15" max="16384" width="8.875" style="18"/>
  </cols>
  <sheetData>
    <row r="1" spans="2:19" s="254" customFormat="1" ht="12" customHeight="1"/>
    <row r="2" spans="2:19" s="196" customFormat="1" ht="12" customHeight="1">
      <c r="C2" s="255"/>
      <c r="F2" s="198"/>
      <c r="M2" s="242"/>
    </row>
    <row r="3" spans="2:19" s="196" customFormat="1" ht="12" customHeight="1">
      <c r="C3" s="256"/>
      <c r="D3" s="257"/>
      <c r="E3" s="257"/>
      <c r="F3" s="257"/>
      <c r="G3" s="258"/>
      <c r="H3" s="258"/>
      <c r="I3" s="258"/>
      <c r="J3" s="258"/>
      <c r="K3" s="258"/>
      <c r="L3" s="258"/>
      <c r="M3" s="203"/>
      <c r="N3" s="258"/>
      <c r="O3" s="258"/>
      <c r="P3" s="258"/>
      <c r="Q3" s="258"/>
      <c r="R3" s="258"/>
      <c r="S3" s="258"/>
    </row>
    <row r="4" spans="2:19" s="15" customFormat="1" ht="23.1" customHeight="1">
      <c r="C4" s="19"/>
      <c r="D4" s="20"/>
      <c r="E4" s="20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19" s="15" customFormat="1" ht="6" customHeight="1">
      <c r="B5" s="196"/>
      <c r="C5" s="256"/>
      <c r="D5" s="257"/>
      <c r="E5" s="257"/>
      <c r="F5" s="257"/>
      <c r="G5" s="258"/>
      <c r="H5" s="258"/>
      <c r="I5" s="258"/>
      <c r="J5" s="258"/>
      <c r="K5" s="258"/>
      <c r="L5" s="258"/>
      <c r="M5" s="258"/>
      <c r="N5" s="258"/>
      <c r="O5" s="21"/>
      <c r="P5" s="21"/>
      <c r="Q5" s="21"/>
      <c r="R5" s="21"/>
      <c r="S5" s="21"/>
    </row>
    <row r="6" spans="2:19" s="16" customFormat="1" ht="24.95" customHeight="1">
      <c r="B6" s="236"/>
      <c r="C6" s="239" t="s">
        <v>708</v>
      </c>
      <c r="D6" s="259">
        <v>2018</v>
      </c>
      <c r="E6" s="259" t="s">
        <v>24</v>
      </c>
      <c r="F6" s="259" t="s">
        <v>25</v>
      </c>
      <c r="G6" s="259" t="s">
        <v>26</v>
      </c>
      <c r="H6" s="259" t="s">
        <v>27</v>
      </c>
      <c r="I6" s="259" t="s">
        <v>28</v>
      </c>
      <c r="J6" s="26"/>
      <c r="K6" s="26"/>
      <c r="L6" s="26"/>
      <c r="M6" s="25"/>
      <c r="N6" s="236"/>
    </row>
    <row r="7" spans="2:19" s="16" customFormat="1" ht="24.95" customHeight="1">
      <c r="B7" s="236"/>
      <c r="C7" s="22" t="s">
        <v>105</v>
      </c>
      <c r="D7" s="23">
        <f>IS!H35</f>
        <v>174.06</v>
      </c>
      <c r="E7" s="23">
        <f>IS!I35</f>
        <v>187.72171861437255</v>
      </c>
      <c r="F7" s="23">
        <f>IS!J35</f>
        <v>221.3400079526312</v>
      </c>
      <c r="G7" s="23">
        <f>IS!K35</f>
        <v>282.18006243200773</v>
      </c>
      <c r="H7" s="23">
        <f>IS!L35</f>
        <v>363.1416127024537</v>
      </c>
      <c r="I7" s="23">
        <f>IS!M35</f>
        <v>468.25331611867324</v>
      </c>
      <c r="J7" s="26"/>
      <c r="K7" s="26"/>
      <c r="L7" s="26"/>
      <c r="M7" s="25"/>
      <c r="N7" s="236"/>
    </row>
    <row r="8" spans="2:19" s="16" customFormat="1" ht="24.95" customHeight="1">
      <c r="B8" s="236"/>
      <c r="C8" s="22" t="s">
        <v>587</v>
      </c>
      <c r="D8" s="23">
        <f>IS!H33</f>
        <v>26.37</v>
      </c>
      <c r="E8" s="23">
        <f>IS!I33</f>
        <v>30.559349541874607</v>
      </c>
      <c r="F8" s="23">
        <f>IS!J33</f>
        <v>36.032094317870197</v>
      </c>
      <c r="G8" s="23">
        <f>IS!K33</f>
        <v>45.936289233117542</v>
      </c>
      <c r="H8" s="23">
        <f>IS!L33</f>
        <v>59.116076486445962</v>
      </c>
      <c r="I8" s="23">
        <f>IS!M33</f>
        <v>76.227284019318915</v>
      </c>
      <c r="J8" s="43"/>
      <c r="K8" s="43"/>
      <c r="L8" s="43"/>
      <c r="M8" s="25"/>
      <c r="N8" s="236"/>
    </row>
    <row r="9" spans="2:19" s="16" customFormat="1" ht="24.95" customHeight="1">
      <c r="B9" s="236"/>
      <c r="C9" s="22" t="s">
        <v>588</v>
      </c>
      <c r="D9" s="23">
        <f>CS!I79</f>
        <v>0</v>
      </c>
      <c r="E9" s="23">
        <f>CS!J79</f>
        <v>-9.8267703383953204</v>
      </c>
      <c r="F9" s="23">
        <f>CS!K79</f>
        <v>-8.9791126210044911</v>
      </c>
      <c r="G9" s="23">
        <f>CS!L79</f>
        <v>-10.18603802177749</v>
      </c>
      <c r="H9" s="23">
        <f>CS!M79</f>
        <v>-11.137582699822904</v>
      </c>
      <c r="I9" s="23">
        <f>CS!N79</f>
        <v>-11.836089048590676</v>
      </c>
      <c r="J9" s="43"/>
      <c r="K9" s="43"/>
      <c r="L9" s="43"/>
      <c r="M9" s="25"/>
      <c r="N9" s="236"/>
    </row>
    <row r="10" spans="2:19" s="16" customFormat="1" ht="24.95" customHeight="1">
      <c r="B10" s="236"/>
      <c r="C10" s="22" t="s">
        <v>589</v>
      </c>
      <c r="D10" s="23">
        <f>SUM(D7:D9)</f>
        <v>200.43</v>
      </c>
      <c r="E10" s="23">
        <f t="shared" ref="E10:I10" si="0">SUM(E7:E9)</f>
        <v>208.45429781785185</v>
      </c>
      <c r="F10" s="23">
        <f t="shared" si="0"/>
        <v>248.39298964949688</v>
      </c>
      <c r="G10" s="23">
        <f t="shared" si="0"/>
        <v>317.93031364334774</v>
      </c>
      <c r="H10" s="23">
        <f t="shared" si="0"/>
        <v>411.12010648907676</v>
      </c>
      <c r="I10" s="23">
        <f t="shared" si="0"/>
        <v>532.64451108940148</v>
      </c>
      <c r="J10" s="43"/>
      <c r="K10" s="43"/>
      <c r="L10" s="43"/>
      <c r="M10" s="25"/>
      <c r="N10" s="236"/>
    </row>
    <row r="11" spans="2:19" s="16" customFormat="1" ht="24.95" customHeight="1">
      <c r="B11" s="236"/>
      <c r="C11" s="22" t="s">
        <v>590</v>
      </c>
      <c r="D11" s="22"/>
      <c r="E11" s="24">
        <f>E10/D10-1</f>
        <v>4.0035412951413774E-2</v>
      </c>
      <c r="F11" s="24">
        <f t="shared" ref="F11:I11" si="1">F10/E10-1</f>
        <v>0.19159447538253027</v>
      </c>
      <c r="G11" s="24">
        <f t="shared" si="1"/>
        <v>0.27994881857162635</v>
      </c>
      <c r="H11" s="24">
        <f t="shared" si="1"/>
        <v>0.29311389586545911</v>
      </c>
      <c r="I11" s="24">
        <f t="shared" si="1"/>
        <v>0.29559343530563509</v>
      </c>
      <c r="J11" s="26"/>
      <c r="K11" s="26"/>
      <c r="L11" s="26"/>
      <c r="M11" s="25"/>
      <c r="N11" s="236"/>
    </row>
    <row r="12" spans="2:19" s="16" customFormat="1" ht="24.95" customHeight="1">
      <c r="B12" s="236"/>
      <c r="C12" s="22" t="s">
        <v>591</v>
      </c>
      <c r="D12" s="23">
        <f>D10*IS!H33/IS!H31</f>
        <v>26.37</v>
      </c>
      <c r="E12" s="23">
        <f>E10*IS!I33/IS!I31</f>
        <v>29.183601694499263</v>
      </c>
      <c r="F12" s="23">
        <f>F10*IS!J33/IS!J31</f>
        <v>34.775018550929566</v>
      </c>
      <c r="G12" s="23">
        <f>G10*IS!K33/IS!K31</f>
        <v>44.510243910068695</v>
      </c>
      <c r="H12" s="23">
        <f>H10*IS!L33/IS!L31</f>
        <v>57.556814908470749</v>
      </c>
      <c r="I12" s="23">
        <f>I10*IS!M33/IS!M31</f>
        <v>74.570231552516219</v>
      </c>
      <c r="J12" s="43"/>
      <c r="K12" s="43"/>
      <c r="L12" s="43"/>
      <c r="M12" s="25"/>
      <c r="N12" s="236"/>
    </row>
    <row r="13" spans="2:19" s="16" customFormat="1" ht="24.95" customHeight="1">
      <c r="B13" s="236"/>
      <c r="C13" s="22" t="s">
        <v>592</v>
      </c>
      <c r="D13" s="23">
        <f>D10-D12</f>
        <v>174.06</v>
      </c>
      <c r="E13" s="23">
        <f t="shared" ref="E13:I13" si="2">E10-E12</f>
        <v>179.27069612335259</v>
      </c>
      <c r="F13" s="23">
        <f t="shared" si="2"/>
        <v>213.61797109856732</v>
      </c>
      <c r="G13" s="23">
        <f t="shared" si="2"/>
        <v>273.42006973327904</v>
      </c>
      <c r="H13" s="23">
        <f t="shared" si="2"/>
        <v>353.56329158060601</v>
      </c>
      <c r="I13" s="23">
        <f t="shared" si="2"/>
        <v>458.07427953688523</v>
      </c>
      <c r="J13" s="43"/>
      <c r="K13" s="43"/>
      <c r="L13" s="43"/>
      <c r="M13" s="56"/>
      <c r="N13" s="236"/>
    </row>
    <row r="14" spans="2:19" s="16" customFormat="1" ht="24.95" customHeight="1">
      <c r="B14" s="236"/>
      <c r="C14" s="22" t="s">
        <v>593</v>
      </c>
      <c r="D14" s="23">
        <f>资本开支假设!H91+资本开支假设!H92+资本开支假设!H93</f>
        <v>57.16</v>
      </c>
      <c r="E14" s="23">
        <f>资本开支假设!I91+资本开支假设!I92+资本开支假设!I93</f>
        <v>85.011640542372049</v>
      </c>
      <c r="F14" s="23">
        <f>资本开支假设!J91+资本开支假设!J92+资本开支假设!J93</f>
        <v>82.089152139867977</v>
      </c>
      <c r="G14" s="23">
        <f>资本开支假设!K91+资本开支假设!K92+资本开支假设!K93</f>
        <v>79.666765991540231</v>
      </c>
      <c r="H14" s="23">
        <f>资本开支假设!L91+资本开支假设!L92+资本开支假设!L93</f>
        <v>77.567327237260457</v>
      </c>
      <c r="I14" s="23">
        <f>资本开支假设!M91+资本开支假设!M92+资本开支假设!M93</f>
        <v>75.783325403389156</v>
      </c>
      <c r="J14" s="43"/>
      <c r="K14" s="43"/>
      <c r="L14" s="43"/>
      <c r="M14" s="25"/>
      <c r="N14" s="236"/>
    </row>
    <row r="15" spans="2:19" s="16" customFormat="1" ht="24.95" customHeight="1">
      <c r="B15" s="236"/>
      <c r="C15" s="22" t="s">
        <v>594</v>
      </c>
      <c r="D15" s="23">
        <f>资本开支假设!H94+资本开支假设!H95</f>
        <v>10.969999999999999</v>
      </c>
      <c r="E15" s="23">
        <f>资本开支假设!I94+资本开支假设!I95</f>
        <v>8.3542718833701635</v>
      </c>
      <c r="F15" s="23">
        <f>资本开支假设!J94+资本开支假设!J95</f>
        <v>8.599848589926177</v>
      </c>
      <c r="G15" s="23">
        <f>资本开支假设!K94+资本开支假设!K95</f>
        <v>8.8515304790302736</v>
      </c>
      <c r="H15" s="23">
        <f>资本开支假设!L94+资本开支假设!L95</f>
        <v>9.1536146401200718</v>
      </c>
      <c r="I15" s="23">
        <f>资本开支假设!M94+资本开支假设!M95</f>
        <v>9.5384635220997573</v>
      </c>
      <c r="J15" s="43"/>
      <c r="K15" s="43"/>
      <c r="L15" s="43"/>
      <c r="M15" s="25"/>
      <c r="N15" s="236"/>
    </row>
    <row r="16" spans="2:19" s="16" customFormat="1" ht="24.95" customHeight="1">
      <c r="B16" s="236"/>
      <c r="C16" s="22" t="s">
        <v>595</v>
      </c>
      <c r="D16" s="23">
        <f>BS!H62-BS!G62</f>
        <v>-219.84999999999991</v>
      </c>
      <c r="E16" s="23">
        <f>BS!I62-BS!H62</f>
        <v>212.80337810761512</v>
      </c>
      <c r="F16" s="23">
        <f>BS!J62-BS!I62</f>
        <v>83.17261294592754</v>
      </c>
      <c r="G16" s="23">
        <f>BS!K62-BS!J62</f>
        <v>113.67399004184836</v>
      </c>
      <c r="H16" s="23">
        <f>BS!L62-BS!K62</f>
        <v>150.57672518729578</v>
      </c>
      <c r="I16" s="23">
        <f>BS!M62-BS!L62</f>
        <v>205.66927459231647</v>
      </c>
      <c r="J16" s="43"/>
      <c r="K16" s="43"/>
      <c r="L16" s="43"/>
      <c r="N16" s="236"/>
    </row>
    <row r="17" spans="2:14" s="16" customFormat="1" ht="24.95" customHeight="1">
      <c r="B17" s="236"/>
      <c r="C17" s="22" t="s">
        <v>596</v>
      </c>
      <c r="D17" s="23">
        <f>资本开支假设!H13</f>
        <v>446.60999999999996</v>
      </c>
      <c r="E17" s="23">
        <f>资本开支假设!I13</f>
        <v>47.969166666666652</v>
      </c>
      <c r="F17" s="23">
        <f>资本开支假设!J13</f>
        <v>51.299409043422251</v>
      </c>
      <c r="G17" s="23">
        <f>资本开支假设!K13</f>
        <v>55.018651703510493</v>
      </c>
      <c r="H17" s="23">
        <f>资本开支假设!L13</f>
        <v>59.138473521977048</v>
      </c>
      <c r="I17" s="23">
        <f>资本开支假设!M13</f>
        <v>63.671120620001552</v>
      </c>
      <c r="J17" s="43"/>
      <c r="K17" s="43"/>
      <c r="L17" s="43"/>
      <c r="M17" s="56"/>
      <c r="N17" s="236"/>
    </row>
    <row r="18" spans="2:14" s="16" customFormat="1" ht="24.95" customHeight="1">
      <c r="B18" s="236"/>
      <c r="C18" s="22" t="s">
        <v>597</v>
      </c>
      <c r="D18" s="23">
        <f t="shared" ref="D18:I18" si="3">D13+D14+D15-D16-D17</f>
        <v>15.42999999999995</v>
      </c>
      <c r="E18" s="23">
        <f>E13+E14+E15-E16-E17</f>
        <v>11.864063774813062</v>
      </c>
      <c r="F18" s="23">
        <f t="shared" si="3"/>
        <v>169.8349498390117</v>
      </c>
      <c r="G18" s="23">
        <f t="shared" si="3"/>
        <v>193.24572445849066</v>
      </c>
      <c r="H18" s="23">
        <f t="shared" si="3"/>
        <v>230.56903474871365</v>
      </c>
      <c r="I18" s="23">
        <f t="shared" si="3"/>
        <v>274.05567325005615</v>
      </c>
      <c r="J18" s="43"/>
      <c r="K18" s="43"/>
      <c r="L18" s="43"/>
      <c r="M18" s="43"/>
      <c r="N18" s="236"/>
    </row>
    <row r="19" spans="2:14" s="16" customFormat="1" ht="24.95" customHeight="1">
      <c r="B19" s="236"/>
      <c r="C19" s="22" t="s">
        <v>590</v>
      </c>
      <c r="D19" s="22"/>
      <c r="E19" s="24">
        <f>E18/D18-1</f>
        <v>-0.23110409754937788</v>
      </c>
      <c r="F19" s="24">
        <f t="shared" ref="F19:I19" si="4">F18/E18-1</f>
        <v>13.315073912495698</v>
      </c>
      <c r="G19" s="24">
        <f t="shared" si="4"/>
        <v>0.13784426963749374</v>
      </c>
      <c r="H19" s="24">
        <f t="shared" si="4"/>
        <v>0.19313912581926274</v>
      </c>
      <c r="I19" s="24">
        <f t="shared" si="4"/>
        <v>0.18860571866788844</v>
      </c>
      <c r="J19" s="26"/>
      <c r="K19" s="26"/>
      <c r="L19" s="26"/>
      <c r="M19" s="25"/>
      <c r="N19" s="236"/>
    </row>
    <row r="20" spans="2:14" s="16" customFormat="1" ht="24.95" customHeight="1">
      <c r="B20" s="236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5"/>
      <c r="N20" s="236"/>
    </row>
    <row r="21" spans="2:14" s="16" customFormat="1" ht="24.95" customHeight="1">
      <c r="B21" s="236"/>
      <c r="C21" s="239" t="s">
        <v>708</v>
      </c>
      <c r="D21" s="259" t="s">
        <v>598</v>
      </c>
      <c r="E21" s="259" t="s">
        <v>599</v>
      </c>
      <c r="F21" s="259" t="s">
        <v>600</v>
      </c>
      <c r="G21" s="259" t="s">
        <v>601</v>
      </c>
      <c r="H21" s="259" t="s">
        <v>602</v>
      </c>
      <c r="I21" s="259" t="s">
        <v>603</v>
      </c>
      <c r="J21" s="259" t="s">
        <v>604</v>
      </c>
      <c r="K21" s="259" t="s">
        <v>713</v>
      </c>
      <c r="L21" s="259" t="s">
        <v>714</v>
      </c>
      <c r="M21" s="259" t="s">
        <v>715</v>
      </c>
      <c r="N21" s="236"/>
    </row>
    <row r="22" spans="2:14" s="16" customFormat="1" ht="24.95" customHeight="1">
      <c r="B22" s="236"/>
      <c r="C22" s="22" t="s">
        <v>605</v>
      </c>
      <c r="D22" s="27">
        <f>I18*(1+25%)</f>
        <v>342.56959156257017</v>
      </c>
      <c r="E22" s="27">
        <f>D22*(1+22%)</f>
        <v>417.93490170633561</v>
      </c>
      <c r="F22" s="27">
        <f>E22*(1+18%)</f>
        <v>493.16318401347598</v>
      </c>
      <c r="G22" s="27">
        <f>F22*(1+17%)</f>
        <v>577.00092529576682</v>
      </c>
      <c r="H22" s="27">
        <f>G22*(1+14%)</f>
        <v>657.78105483717422</v>
      </c>
      <c r="I22" s="27">
        <f>H22*(1+11%)</f>
        <v>730.13697086926345</v>
      </c>
      <c r="J22" s="27">
        <f>I22*(1+8%)</f>
        <v>788.54792853880463</v>
      </c>
      <c r="K22" s="27">
        <f>J22*(1+6%)</f>
        <v>835.86080425113289</v>
      </c>
      <c r="L22" s="27">
        <f>K22*(1+5%)</f>
        <v>877.65384446368955</v>
      </c>
      <c r="M22" s="27">
        <f>L22*(1+4%)</f>
        <v>912.7599982422372</v>
      </c>
      <c r="N22" s="236"/>
    </row>
    <row r="23" spans="2:14" s="16" customFormat="1" ht="24.95" customHeight="1">
      <c r="B23" s="236"/>
      <c r="C23" s="25"/>
      <c r="N23" s="236"/>
    </row>
    <row r="24" spans="2:14" s="16" customFormat="1" ht="24.95" customHeight="1">
      <c r="B24" s="236"/>
      <c r="C24" s="463" t="s">
        <v>606</v>
      </c>
      <c r="D24" s="464"/>
      <c r="E24" s="464"/>
      <c r="F24" s="464"/>
      <c r="G24" s="465"/>
      <c r="N24" s="236"/>
    </row>
    <row r="25" spans="2:14" s="16" customFormat="1" ht="24.95" customHeight="1">
      <c r="B25" s="236"/>
      <c r="C25" s="22" t="s">
        <v>607</v>
      </c>
      <c r="D25" s="28">
        <f>D28*(1-D32)+D27*D32</f>
        <v>7.2452521160000005E-2</v>
      </c>
      <c r="E25" s="29"/>
      <c r="F25" s="177" t="s">
        <v>644</v>
      </c>
      <c r="G25" s="22" t="s">
        <v>608</v>
      </c>
      <c r="M25" s="45"/>
      <c r="N25" s="236"/>
    </row>
    <row r="26" spans="2:14" s="16" customFormat="1" ht="24.95" customHeight="1">
      <c r="B26" s="236"/>
      <c r="C26" s="22" t="s">
        <v>609</v>
      </c>
      <c r="D26" s="30">
        <v>0.02</v>
      </c>
      <c r="E26" s="29"/>
      <c r="F26" s="31">
        <v>43829</v>
      </c>
      <c r="G26" s="32">
        <f ca="1">TODAY()</f>
        <v>43851</v>
      </c>
      <c r="N26" s="236"/>
    </row>
    <row r="27" spans="2:14" s="16" customFormat="1" ht="24.95" customHeight="1">
      <c r="B27" s="236"/>
      <c r="C27" s="22" t="s">
        <v>610</v>
      </c>
      <c r="D27" s="33">
        <v>3.56E-2</v>
      </c>
      <c r="E27" s="24"/>
      <c r="F27" s="22"/>
      <c r="G27" s="22"/>
      <c r="N27" s="236"/>
    </row>
    <row r="28" spans="2:14" s="16" customFormat="1" ht="24.95" customHeight="1">
      <c r="B28" s="236"/>
      <c r="C28" s="22" t="s">
        <v>611</v>
      </c>
      <c r="D28" s="34">
        <f>D29+D31*D30</f>
        <v>7.3916200000000001E-2</v>
      </c>
      <c r="E28" s="35"/>
      <c r="F28" s="22"/>
      <c r="G28" s="22"/>
      <c r="N28" s="236"/>
    </row>
    <row r="29" spans="2:14" s="16" customFormat="1" ht="24.95" customHeight="1">
      <c r="B29" s="236"/>
      <c r="C29" s="22" t="s">
        <v>612</v>
      </c>
      <c r="D29" s="30">
        <v>2.2599999999999999E-2</v>
      </c>
      <c r="E29" s="29"/>
      <c r="F29" s="22"/>
      <c r="G29" s="36"/>
      <c r="N29" s="236"/>
    </row>
    <row r="30" spans="2:14" s="16" customFormat="1" ht="24.95" customHeight="1">
      <c r="B30" s="236"/>
      <c r="C30" s="22" t="s">
        <v>613</v>
      </c>
      <c r="D30" s="30">
        <f>10%-D29</f>
        <v>7.740000000000001E-2</v>
      </c>
      <c r="E30" s="29"/>
      <c r="F30" s="22" t="s">
        <v>392</v>
      </c>
      <c r="G30" s="22"/>
      <c r="N30" s="236"/>
    </row>
    <row r="31" spans="2:14" s="16" customFormat="1" ht="24.95" customHeight="1">
      <c r="B31" s="236"/>
      <c r="C31" s="22" t="s">
        <v>614</v>
      </c>
      <c r="D31" s="37">
        <v>0.66300000000000003</v>
      </c>
      <c r="E31" s="38"/>
      <c r="F31" s="22" t="s">
        <v>615</v>
      </c>
      <c r="G31" s="22" t="s">
        <v>616</v>
      </c>
      <c r="H31" s="39"/>
      <c r="I31" s="39"/>
      <c r="J31" s="39"/>
      <c r="K31" s="39"/>
      <c r="L31" s="39"/>
      <c r="N31" s="236"/>
    </row>
    <row r="32" spans="2:14" s="16" customFormat="1" ht="24.95" customHeight="1">
      <c r="B32" s="236"/>
      <c r="C32" s="22" t="s">
        <v>617</v>
      </c>
      <c r="D32" s="30">
        <v>3.8199999999999998E-2</v>
      </c>
      <c r="E32" s="29"/>
      <c r="F32" s="195" t="s">
        <v>716</v>
      </c>
      <c r="G32" s="22" t="s">
        <v>717</v>
      </c>
      <c r="N32" s="236"/>
    </row>
    <row r="33" spans="2:14" s="16" customFormat="1" ht="24.95" customHeight="1">
      <c r="B33" s="236"/>
      <c r="C33" s="25"/>
      <c r="D33" s="40"/>
      <c r="E33" s="40"/>
      <c r="N33" s="236"/>
    </row>
    <row r="34" spans="2:14" s="16" customFormat="1" ht="24.95" customHeight="1">
      <c r="B34" s="236"/>
      <c r="C34" s="463" t="s">
        <v>618</v>
      </c>
      <c r="D34" s="464"/>
      <c r="E34" s="464"/>
      <c r="F34" s="464"/>
      <c r="G34" s="464"/>
      <c r="H34" s="464"/>
      <c r="I34" s="465"/>
      <c r="N34" s="236"/>
    </row>
    <row r="35" spans="2:14" s="16" customFormat="1" ht="24.95" customHeight="1">
      <c r="B35" s="236"/>
      <c r="C35" s="22" t="s">
        <v>619</v>
      </c>
      <c r="D35" s="22"/>
      <c r="E35" s="41">
        <f>1/(1+$D$25)^(LEFT(E6,4)-LEFT($E$6,4))</f>
        <v>1</v>
      </c>
      <c r="F35" s="41">
        <f t="shared" ref="F35:I35" si="5">1/(1+$D$25)^(LEFT(F6,4)-LEFT($E$6,4))</f>
        <v>0.93244221097859603</v>
      </c>
      <c r="G35" s="41">
        <f t="shared" si="5"/>
        <v>0.86944847681465265</v>
      </c>
      <c r="H35" s="41">
        <f t="shared" si="5"/>
        <v>0.81071046005302727</v>
      </c>
      <c r="I35" s="41">
        <f t="shared" si="5"/>
        <v>0.7559406538353195</v>
      </c>
      <c r="J35" s="384"/>
      <c r="K35" s="384"/>
      <c r="L35" s="384"/>
      <c r="N35" s="236"/>
    </row>
    <row r="36" spans="2:14" s="16" customFormat="1" ht="24.95" customHeight="1">
      <c r="B36" s="236"/>
      <c r="C36" s="22" t="s">
        <v>620</v>
      </c>
      <c r="D36" s="22"/>
      <c r="E36" s="23">
        <f>E18*E35</f>
        <v>11.864063774813062</v>
      </c>
      <c r="F36" s="23">
        <f t="shared" ref="F36:I36" si="6">F18*F35</f>
        <v>158.36127612932702</v>
      </c>
      <c r="G36" s="23">
        <f t="shared" si="6"/>
        <v>168.01720078137876</v>
      </c>
      <c r="H36" s="23">
        <f t="shared" si="6"/>
        <v>186.92472823511207</v>
      </c>
      <c r="I36" s="23">
        <f t="shared" si="6"/>
        <v>207.16982482392612</v>
      </c>
      <c r="J36" s="43"/>
      <c r="K36" s="43"/>
      <c r="L36" s="43"/>
      <c r="N36" s="236"/>
    </row>
    <row r="37" spans="2:14" s="16" customFormat="1" ht="24.95" customHeight="1">
      <c r="B37" s="236"/>
      <c r="C37" s="22" t="s">
        <v>619</v>
      </c>
      <c r="D37" s="42">
        <f>1/(1+$D$25)^(LEFT(D21,4)-LEFT($E$6,4))</f>
        <v>0.70487097463081083</v>
      </c>
      <c r="E37" s="42">
        <f t="shared" ref="E37:M37" si="7">1/(1+$D$25)^(LEFT(E21,4)-LEFT($E$6,4))</f>
        <v>0.65725145003939112</v>
      </c>
      <c r="F37" s="42">
        <f t="shared" si="7"/>
        <v>0.61284899524361802</v>
      </c>
      <c r="G37" s="42">
        <f t="shared" si="7"/>
        <v>0.57144627212097032</v>
      </c>
      <c r="H37" s="42">
        <f t="shared" si="7"/>
        <v>0.53284062543195398</v>
      </c>
      <c r="I37" s="42">
        <f t="shared" si="7"/>
        <v>0.49684309087698914</v>
      </c>
      <c r="J37" s="42">
        <f t="shared" si="7"/>
        <v>0.46327747016677923</v>
      </c>
      <c r="K37" s="42">
        <f t="shared" si="7"/>
        <v>0.43197946857888214</v>
      </c>
      <c r="L37" s="42">
        <f t="shared" si="7"/>
        <v>0.40279589077905192</v>
      </c>
      <c r="M37" s="42">
        <f t="shared" si="7"/>
        <v>0.37558389097111217</v>
      </c>
      <c r="N37" s="236"/>
    </row>
    <row r="38" spans="2:14" s="16" customFormat="1" ht="24.95" customHeight="1">
      <c r="B38" s="236"/>
      <c r="C38" s="22" t="s">
        <v>621</v>
      </c>
      <c r="D38" s="27">
        <f>D37*D22</f>
        <v>241.46736188358761</v>
      </c>
      <c r="E38" s="27">
        <f t="shared" ref="E38:M38" si="8">E37*E22</f>
        <v>274.68832016855947</v>
      </c>
      <c r="F38" s="27">
        <f t="shared" si="8"/>
        <v>302.23456181380226</v>
      </c>
      <c r="G38" s="27">
        <f t="shared" si="8"/>
        <v>329.72502777061641</v>
      </c>
      <c r="H38" s="27">
        <f t="shared" si="8"/>
        <v>350.49246865673035</v>
      </c>
      <c r="I38" s="27">
        <f t="shared" si="8"/>
        <v>362.76350937024705</v>
      </c>
      <c r="J38" s="27">
        <f t="shared" si="8"/>
        <v>365.31648943871164</v>
      </c>
      <c r="K38" s="27">
        <f t="shared" si="8"/>
        <v>361.07470602632139</v>
      </c>
      <c r="L38" s="27">
        <f t="shared" si="8"/>
        <v>353.51536207641135</v>
      </c>
      <c r="M38" s="27">
        <f t="shared" si="8"/>
        <v>342.81795166260497</v>
      </c>
      <c r="N38" s="236"/>
    </row>
    <row r="39" spans="2:14" s="16" customFormat="1" ht="24.95" customHeight="1">
      <c r="B39" s="236"/>
      <c r="C39" s="25"/>
      <c r="D39" s="25"/>
      <c r="E39" s="43"/>
      <c r="F39" s="43"/>
      <c r="G39" s="43"/>
      <c r="H39" s="43"/>
      <c r="I39" s="43"/>
      <c r="J39" s="43"/>
      <c r="K39" s="43"/>
      <c r="L39" s="43"/>
      <c r="N39" s="236"/>
    </row>
    <row r="40" spans="2:14" s="16" customFormat="1" ht="24.95" customHeight="1">
      <c r="B40" s="236"/>
      <c r="C40" s="460" t="s">
        <v>622</v>
      </c>
      <c r="D40" s="461"/>
      <c r="E40" s="462"/>
      <c r="F40" s="44">
        <f>(SUM(E36:I36)+SUM(D38:M38))/100</f>
        <v>40.164328526121494</v>
      </c>
      <c r="G40" s="45"/>
      <c r="H40" s="45"/>
      <c r="I40" s="45"/>
      <c r="J40" s="45"/>
      <c r="K40" s="45"/>
      <c r="L40" s="45"/>
      <c r="N40" s="236"/>
    </row>
    <row r="41" spans="2:14" s="16" customFormat="1" ht="24.95" customHeight="1">
      <c r="B41" s="236"/>
      <c r="C41" s="460" t="s">
        <v>623</v>
      </c>
      <c r="D41" s="461"/>
      <c r="E41" s="462"/>
      <c r="F41" s="44">
        <f>M22*(1+D26)/(D25-D26)*M37/100</f>
        <v>66.66491961925307</v>
      </c>
      <c r="G41" s="45"/>
      <c r="H41" s="45"/>
      <c r="I41" s="45"/>
      <c r="J41" s="45"/>
      <c r="K41" s="45"/>
      <c r="L41" s="45"/>
      <c r="N41" s="236"/>
    </row>
    <row r="42" spans="2:14" s="16" customFormat="1" ht="24.95" customHeight="1">
      <c r="B42" s="236"/>
      <c r="C42" s="460" t="s">
        <v>624</v>
      </c>
      <c r="D42" s="461"/>
      <c r="E42" s="462"/>
      <c r="F42" s="46">
        <f ca="1">(F40+F41)*((1+$D$25)^((G26-F26)/365))</f>
        <v>107.28059637698955</v>
      </c>
      <c r="G42" s="45"/>
      <c r="H42" s="45"/>
      <c r="I42" s="45"/>
      <c r="J42" s="45"/>
      <c r="K42" s="45"/>
      <c r="L42" s="45"/>
      <c r="N42" s="236"/>
    </row>
    <row r="43" spans="2:14" s="16" customFormat="1" ht="24.95" customHeight="1">
      <c r="B43" s="236"/>
      <c r="C43" s="460" t="s">
        <v>625</v>
      </c>
      <c r="D43" s="461"/>
      <c r="E43" s="462"/>
      <c r="F43" s="46">
        <f ca="1">(-BS!I8+BS!I34+BS!I45)*((1+$D$25)^((G26-F26)/365))/100</f>
        <v>-3.6528682158036911</v>
      </c>
      <c r="G43" s="45"/>
      <c r="H43" s="45"/>
      <c r="I43" s="45"/>
      <c r="J43" s="45"/>
      <c r="K43" s="45"/>
      <c r="L43" s="45"/>
      <c r="N43" s="236"/>
    </row>
    <row r="44" spans="2:14" s="16" customFormat="1" ht="24.95" customHeight="1">
      <c r="B44" s="236"/>
      <c r="C44" s="460" t="s">
        <v>626</v>
      </c>
      <c r="D44" s="461"/>
      <c r="E44" s="462"/>
      <c r="F44" s="46">
        <f ca="1">BS!I56*((1+$D$25)^((G26-F26)/365))/100</f>
        <v>0.3206490265339933</v>
      </c>
      <c r="G44" s="45"/>
      <c r="H44" s="45"/>
      <c r="I44" s="45"/>
      <c r="J44" s="45"/>
      <c r="K44" s="45"/>
      <c r="L44" s="45"/>
      <c r="N44" s="236"/>
    </row>
    <row r="45" spans="2:14" s="16" customFormat="1" ht="24.95" customHeight="1">
      <c r="B45" s="236"/>
      <c r="C45" s="460" t="s">
        <v>627</v>
      </c>
      <c r="D45" s="461"/>
      <c r="E45" s="462"/>
      <c r="F45" s="46">
        <f ca="1">F42-(F43+F44)</f>
        <v>110.61281556625924</v>
      </c>
      <c r="G45" s="45"/>
      <c r="H45" s="45"/>
      <c r="I45" s="45"/>
      <c r="J45" s="45"/>
      <c r="K45" s="45"/>
      <c r="L45" s="45"/>
      <c r="N45" s="236"/>
    </row>
    <row r="46" spans="2:14" s="16" customFormat="1" ht="24.95" customHeight="1">
      <c r="B46" s="236"/>
      <c r="C46" s="460" t="s">
        <v>628</v>
      </c>
      <c r="D46" s="461"/>
      <c r="E46" s="462"/>
      <c r="F46" s="46">
        <v>110</v>
      </c>
      <c r="H46" s="180"/>
      <c r="I46" s="180"/>
      <c r="J46" s="180"/>
      <c r="K46" s="180"/>
      <c r="L46" s="180"/>
      <c r="N46" s="236"/>
    </row>
    <row r="47" spans="2:14" s="16" customFormat="1" ht="24.95" customHeight="1">
      <c r="B47" s="236"/>
      <c r="C47" s="457" t="s">
        <v>629</v>
      </c>
      <c r="D47" s="458"/>
      <c r="E47" s="459"/>
      <c r="F47" s="47">
        <f ca="1">F48*F45/F46</f>
        <v>8.1551812203851117</v>
      </c>
      <c r="N47" s="236"/>
    </row>
    <row r="48" spans="2:14" s="16" customFormat="1" ht="24.95" customHeight="1">
      <c r="B48" s="236"/>
      <c r="C48" s="460" t="s">
        <v>630</v>
      </c>
      <c r="D48" s="461"/>
      <c r="E48" s="462"/>
      <c r="F48" s="46">
        <v>8.11</v>
      </c>
      <c r="G48" s="48"/>
      <c r="H48" s="49"/>
      <c r="I48" s="18"/>
      <c r="J48" s="18"/>
      <c r="K48" s="18"/>
      <c r="L48" s="18"/>
      <c r="N48" s="236"/>
    </row>
    <row r="49" spans="1:14" s="16" customFormat="1" ht="24.95" customHeight="1">
      <c r="B49" s="236"/>
      <c r="N49" s="236"/>
    </row>
    <row r="50" spans="1:14" s="16" customFormat="1" ht="24.95" customHeight="1">
      <c r="B50" s="236"/>
      <c r="C50" s="463" t="s">
        <v>631</v>
      </c>
      <c r="D50" s="464"/>
      <c r="E50" s="464"/>
      <c r="F50" s="464"/>
      <c r="G50" s="464"/>
      <c r="H50" s="465"/>
      <c r="N50" s="236"/>
    </row>
    <row r="51" spans="1:14" s="16" customFormat="1" ht="24.95" customHeight="1">
      <c r="B51" s="236"/>
      <c r="C51" s="50" t="s">
        <v>632</v>
      </c>
      <c r="D51" s="466"/>
      <c r="E51" s="467"/>
      <c r="F51" s="467"/>
      <c r="G51" s="467"/>
      <c r="H51" s="468"/>
      <c r="N51" s="236"/>
    </row>
    <row r="52" spans="1:14" s="16" customFormat="1" ht="24.95" customHeight="1">
      <c r="B52" s="236"/>
      <c r="C52" s="51">
        <f ca="1">F47</f>
        <v>8.1551812203851117</v>
      </c>
      <c r="D52" s="52">
        <f>E52-0.5%</f>
        <v>9.9999999999999985E-3</v>
      </c>
      <c r="E52" s="52">
        <f>F52-0.5%</f>
        <v>1.4999999999999999E-2</v>
      </c>
      <c r="F52" s="52">
        <v>0.02</v>
      </c>
      <c r="G52" s="52">
        <f>F52+0.5%</f>
        <v>2.5000000000000001E-2</v>
      </c>
      <c r="H52" s="52">
        <f>G52+0.5%</f>
        <v>3.0000000000000002E-2</v>
      </c>
      <c r="N52" s="236"/>
    </row>
    <row r="53" spans="1:14" s="16" customFormat="1" ht="24.95" customHeight="1">
      <c r="B53" s="236"/>
      <c r="C53" s="53">
        <f>C54-0.5%</f>
        <v>6.2452521160000003E-2</v>
      </c>
      <c r="D53" s="46">
        <v>9.0342244404353274</v>
      </c>
      <c r="E53" s="46">
        <v>9.6515169179901754</v>
      </c>
      <c r="F53" s="46">
        <v>10.414217126508357</v>
      </c>
      <c r="G53" s="46">
        <v>11.380561892160587</v>
      </c>
      <c r="H53" s="46">
        <v>12.644678519939607</v>
      </c>
      <c r="N53" s="236"/>
    </row>
    <row r="54" spans="1:14" s="16" customFormat="1" ht="24.95" customHeight="1">
      <c r="B54" s="236"/>
      <c r="C54" s="53">
        <f>C55-0.5%</f>
        <v>6.7452521160000001E-2</v>
      </c>
      <c r="D54" s="46">
        <v>8.1014039927401456</v>
      </c>
      <c r="E54" s="290">
        <v>8.5811999884807317</v>
      </c>
      <c r="F54" s="290">
        <v>9.1621067332419663</v>
      </c>
      <c r="G54" s="290">
        <v>9.8798502850733509</v>
      </c>
      <c r="H54" s="46">
        <v>10.789234754418709</v>
      </c>
      <c r="M54" s="180"/>
      <c r="N54" s="236"/>
    </row>
    <row r="55" spans="1:14" s="16" customFormat="1" ht="24.95" customHeight="1">
      <c r="B55" s="236"/>
      <c r="C55" s="53">
        <v>7.2452521160000005E-2</v>
      </c>
      <c r="D55" s="46">
        <v>7.3242129067651369</v>
      </c>
      <c r="E55" s="290">
        <v>7.7035381493602966</v>
      </c>
      <c r="F55" s="291">
        <v>8.1551812203851117</v>
      </c>
      <c r="G55" s="290">
        <v>8.7020021786926627</v>
      </c>
      <c r="H55" s="46">
        <v>9.3776307892587507</v>
      </c>
      <c r="M55" s="180"/>
      <c r="N55" s="236"/>
    </row>
    <row r="56" spans="1:14" s="17" customFormat="1" ht="24.95" customHeight="1">
      <c r="B56" s="188"/>
      <c r="C56" s="53">
        <f>C55+0.5%</f>
        <v>7.745252116000001E-2</v>
      </c>
      <c r="D56" s="46">
        <v>6.6677610613085472</v>
      </c>
      <c r="E56" s="290">
        <v>6.9719780987278908</v>
      </c>
      <c r="F56" s="290">
        <v>7.3291461696749218</v>
      </c>
      <c r="G56" s="290">
        <v>7.7544078351810279</v>
      </c>
      <c r="H56" s="46">
        <v>8.2692878508001275</v>
      </c>
      <c r="M56" s="292"/>
      <c r="N56" s="188"/>
    </row>
    <row r="57" spans="1:14" s="17" customFormat="1" ht="24.95" customHeight="1">
      <c r="B57" s="188"/>
      <c r="C57" s="53">
        <f>C56+0.5%</f>
        <v>8.2452521160000014E-2</v>
      </c>
      <c r="D57" s="46">
        <v>6.1068041212324324</v>
      </c>
      <c r="E57" s="46">
        <v>6.3537841913655129</v>
      </c>
      <c r="F57" s="46">
        <v>6.6403111149395224</v>
      </c>
      <c r="G57" s="46">
        <v>6.9767099880448757</v>
      </c>
      <c r="H57" s="46">
        <v>7.377242837109022</v>
      </c>
      <c r="N57" s="188"/>
    </row>
    <row r="58" spans="1:14" ht="6" customHeight="1">
      <c r="A58" s="55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</row>
    <row r="63" spans="1:14">
      <c r="E63" s="484">
        <f>E56/利润表!H61</f>
        <v>48.415613922771605</v>
      </c>
    </row>
    <row r="64" spans="1:14">
      <c r="E64" s="484">
        <f>G54/利润表!H61</f>
        <v>68.608795128627008</v>
      </c>
    </row>
  </sheetData>
  <mergeCells count="13">
    <mergeCell ref="C24:G24"/>
    <mergeCell ref="C34:I34"/>
    <mergeCell ref="C40:E40"/>
    <mergeCell ref="C41:E41"/>
    <mergeCell ref="C42:E42"/>
    <mergeCell ref="C47:E47"/>
    <mergeCell ref="C48:E48"/>
    <mergeCell ref="C50:H50"/>
    <mergeCell ref="D51:H51"/>
    <mergeCell ref="C43:E43"/>
    <mergeCell ref="C44:E44"/>
    <mergeCell ref="C45:E45"/>
    <mergeCell ref="C46:E46"/>
  </mergeCells>
  <phoneticPr fontId="39" type="noConversion"/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U30"/>
  <sheetViews>
    <sheetView showGridLines="0" zoomScale="85" zoomScaleNormal="85" workbookViewId="0">
      <pane ySplit="3" topLeftCell="A10" activePane="bottomLeft" state="frozen"/>
      <selection pane="bottomLeft" activeCell="O21" sqref="O21"/>
    </sheetView>
  </sheetViews>
  <sheetFormatPr defaultColWidth="9" defaultRowHeight="13.5"/>
  <cols>
    <col min="1" max="1" width="4.125" customWidth="1"/>
    <col min="2" max="2" width="0.875" customWidth="1"/>
    <col min="3" max="3" width="23.375" customWidth="1"/>
    <col min="4" max="4" width="10.5" customWidth="1"/>
    <col min="5" max="5" width="16.125" customWidth="1"/>
    <col min="6" max="6" width="11.25" customWidth="1"/>
    <col min="7" max="11" width="10.375" customWidth="1"/>
    <col min="12" max="12" width="0.875" customWidth="1"/>
  </cols>
  <sheetData>
    <row r="1" spans="2:21" s="199" customFormat="1" ht="12" customHeight="1">
      <c r="C1" s="255"/>
      <c r="F1" s="198"/>
    </row>
    <row r="2" spans="2:21" s="199" customFormat="1" ht="12" customHeight="1">
      <c r="C2" s="255"/>
      <c r="F2" s="198"/>
      <c r="K2" s="260"/>
    </row>
    <row r="3" spans="2:21" s="199" customFormat="1" ht="12" customHeight="1">
      <c r="C3" s="261"/>
      <c r="D3" s="262"/>
      <c r="E3" s="262"/>
      <c r="F3" s="262"/>
      <c r="G3" s="263"/>
      <c r="H3" s="263"/>
      <c r="I3" s="263"/>
      <c r="K3" s="203"/>
      <c r="L3" s="264"/>
      <c r="M3" s="263"/>
      <c r="N3" s="263"/>
      <c r="O3" s="263"/>
      <c r="P3" s="263"/>
      <c r="Q3" s="263"/>
      <c r="R3" s="263"/>
      <c r="S3" s="263"/>
      <c r="T3" s="263"/>
      <c r="U3" s="263"/>
    </row>
    <row r="4" spans="2:21" s="6" customFormat="1" ht="23.1" customHeight="1">
      <c r="C4" s="7"/>
      <c r="D4" s="8"/>
      <c r="E4" s="8"/>
      <c r="F4" s="8"/>
      <c r="G4" s="9"/>
      <c r="H4" s="9"/>
      <c r="I4" s="9"/>
      <c r="K4" s="13"/>
      <c r="L4" s="13"/>
      <c r="M4" s="9"/>
      <c r="N4" s="9"/>
      <c r="O4" s="9"/>
      <c r="P4" s="9"/>
      <c r="Q4" s="9"/>
      <c r="R4" s="9"/>
      <c r="S4" s="9"/>
      <c r="T4" s="9"/>
      <c r="U4" s="9"/>
    </row>
    <row r="5" spans="2:21" ht="6" customHeight="1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2:21" ht="24.95" customHeight="1">
      <c r="B6" s="204"/>
      <c r="C6" s="469" t="s">
        <v>633</v>
      </c>
      <c r="D6" s="470"/>
      <c r="E6" s="475"/>
      <c r="F6" s="476"/>
      <c r="G6" s="476"/>
      <c r="H6" s="476"/>
      <c r="I6" s="476"/>
      <c r="J6" s="476"/>
      <c r="K6" s="477"/>
      <c r="L6" s="204"/>
    </row>
    <row r="7" spans="2:21" ht="24.95" customHeight="1">
      <c r="B7" s="204"/>
      <c r="C7" s="269" t="s">
        <v>607</v>
      </c>
      <c r="D7" s="5">
        <f>DCF估值!D25</f>
        <v>7.2452521160000005E-2</v>
      </c>
      <c r="E7" s="478"/>
      <c r="F7" s="479"/>
      <c r="G7" s="479"/>
      <c r="H7" s="479"/>
      <c r="I7" s="479"/>
      <c r="J7" s="479"/>
      <c r="K7" s="480"/>
      <c r="L7" s="204"/>
    </row>
    <row r="8" spans="2:21" ht="24.95" customHeight="1">
      <c r="B8" s="204"/>
      <c r="C8" s="269" t="s">
        <v>609</v>
      </c>
      <c r="D8" s="5">
        <f>DCF估值!D26</f>
        <v>0.02</v>
      </c>
      <c r="E8" s="478"/>
      <c r="F8" s="479"/>
      <c r="G8" s="479"/>
      <c r="H8" s="479"/>
      <c r="I8" s="479"/>
      <c r="J8" s="479"/>
      <c r="K8" s="480"/>
      <c r="L8" s="204"/>
    </row>
    <row r="9" spans="2:21" ht="24.95" customHeight="1">
      <c r="B9" s="204"/>
      <c r="C9" s="269" t="s">
        <v>610</v>
      </c>
      <c r="D9" s="5">
        <f>DCF估值!D27</f>
        <v>3.56E-2</v>
      </c>
      <c r="E9" s="478"/>
      <c r="F9" s="479"/>
      <c r="G9" s="479"/>
      <c r="H9" s="479"/>
      <c r="I9" s="479"/>
      <c r="J9" s="479"/>
      <c r="K9" s="480"/>
      <c r="L9" s="204"/>
    </row>
    <row r="10" spans="2:21" ht="24.95" customHeight="1">
      <c r="B10" s="204"/>
      <c r="C10" s="269" t="s">
        <v>611</v>
      </c>
      <c r="D10" s="5">
        <f>DCF估值!D28</f>
        <v>7.3916200000000001E-2</v>
      </c>
      <c r="E10" s="478"/>
      <c r="F10" s="479"/>
      <c r="G10" s="479"/>
      <c r="H10" s="479"/>
      <c r="I10" s="479"/>
      <c r="J10" s="479"/>
      <c r="K10" s="480"/>
      <c r="L10" s="204"/>
    </row>
    <row r="11" spans="2:21" ht="24.95" customHeight="1">
      <c r="B11" s="204"/>
      <c r="C11" s="269" t="s">
        <v>612</v>
      </c>
      <c r="D11" s="5">
        <f>DCF估值!D29</f>
        <v>2.2599999999999999E-2</v>
      </c>
      <c r="E11" s="478"/>
      <c r="F11" s="479"/>
      <c r="G11" s="479"/>
      <c r="H11" s="479"/>
      <c r="I11" s="479"/>
      <c r="J11" s="479"/>
      <c r="K11" s="480"/>
      <c r="L11" s="204"/>
    </row>
    <row r="12" spans="2:21" ht="24.95" customHeight="1">
      <c r="B12" s="204"/>
      <c r="C12" s="269" t="s">
        <v>613</v>
      </c>
      <c r="D12" s="5">
        <f>DCF估值!D30</f>
        <v>7.740000000000001E-2</v>
      </c>
      <c r="E12" s="478"/>
      <c r="F12" s="479"/>
      <c r="G12" s="479"/>
      <c r="H12" s="479"/>
      <c r="I12" s="479"/>
      <c r="J12" s="479"/>
      <c r="K12" s="480"/>
      <c r="L12" s="204"/>
    </row>
    <row r="13" spans="2:21" ht="24.95" customHeight="1">
      <c r="B13" s="204"/>
      <c r="C13" s="269" t="s">
        <v>614</v>
      </c>
      <c r="D13" s="10">
        <f>DCF估值!D31</f>
        <v>0.66300000000000003</v>
      </c>
      <c r="E13" s="478"/>
      <c r="F13" s="479"/>
      <c r="G13" s="479"/>
      <c r="H13" s="479"/>
      <c r="I13" s="479"/>
      <c r="J13" s="479"/>
      <c r="K13" s="480"/>
      <c r="L13" s="204"/>
    </row>
    <row r="14" spans="2:21" ht="24.95" customHeight="1">
      <c r="B14" s="204"/>
      <c r="C14" s="269" t="s">
        <v>617</v>
      </c>
      <c r="D14" s="5">
        <f>DCF估值!D32</f>
        <v>3.8199999999999998E-2</v>
      </c>
      <c r="E14" s="481"/>
      <c r="F14" s="482"/>
      <c r="G14" s="482"/>
      <c r="H14" s="482"/>
      <c r="I14" s="482"/>
      <c r="J14" s="482"/>
      <c r="K14" s="483"/>
      <c r="L14" s="204"/>
    </row>
    <row r="15" spans="2:21" ht="24.95" customHeight="1">
      <c r="B15" s="204"/>
      <c r="C15" s="406"/>
      <c r="D15" s="407"/>
      <c r="E15" s="407"/>
      <c r="F15" s="407"/>
      <c r="G15" s="407"/>
      <c r="H15" s="407"/>
      <c r="I15" s="407"/>
      <c r="J15" s="407"/>
      <c r="K15" s="408"/>
      <c r="L15" s="204"/>
      <c r="Q15" s="14"/>
    </row>
    <row r="16" spans="2:21" ht="24.95" customHeight="1">
      <c r="B16" s="204"/>
      <c r="C16" s="471" t="s">
        <v>634</v>
      </c>
      <c r="D16" s="472"/>
      <c r="E16" s="473"/>
      <c r="F16" s="469" t="s">
        <v>631</v>
      </c>
      <c r="G16" s="474"/>
      <c r="H16" s="474"/>
      <c r="I16" s="474"/>
      <c r="J16" s="474"/>
      <c r="K16" s="470"/>
      <c r="L16" s="204"/>
    </row>
    <row r="17" spans="2:12" ht="24.95" customHeight="1">
      <c r="B17" s="204"/>
      <c r="C17" s="269" t="s">
        <v>635</v>
      </c>
      <c r="D17" s="178">
        <f ca="1">DCF估值!F42</f>
        <v>107.28059637698955</v>
      </c>
      <c r="E17" s="11" t="s">
        <v>636</v>
      </c>
      <c r="F17" s="287" t="s">
        <v>632</v>
      </c>
      <c r="G17" s="142">
        <f>DCF估值!D52</f>
        <v>9.9999999999999985E-3</v>
      </c>
      <c r="H17" s="142">
        <f>DCF估值!E52</f>
        <v>1.4999999999999999E-2</v>
      </c>
      <c r="I17" s="142">
        <f>DCF估值!F52</f>
        <v>0.02</v>
      </c>
      <c r="J17" s="142">
        <f>DCF估值!G52</f>
        <v>2.5000000000000001E-2</v>
      </c>
      <c r="K17" s="142">
        <f>DCF估值!H52</f>
        <v>3.0000000000000002E-2</v>
      </c>
      <c r="L17" s="204"/>
    </row>
    <row r="18" spans="2:12" ht="24.95" customHeight="1">
      <c r="B18" s="204"/>
      <c r="C18" s="269" t="s">
        <v>637</v>
      </c>
      <c r="D18" s="178">
        <f ca="1">DCF估值!F43</f>
        <v>-3.6528682158036911</v>
      </c>
      <c r="E18" s="11" t="s">
        <v>636</v>
      </c>
      <c r="F18" s="142">
        <f>DCF估值!C53</f>
        <v>6.2452521160000003E-2</v>
      </c>
      <c r="G18" s="12">
        <f>DCF估值!D53</f>
        <v>9.0342244404353274</v>
      </c>
      <c r="H18" s="12">
        <f>DCF估值!E53</f>
        <v>9.6515169179901754</v>
      </c>
      <c r="I18" s="12">
        <f>DCF估值!F53</f>
        <v>10.414217126508357</v>
      </c>
      <c r="J18" s="12">
        <f>DCF估值!G53</f>
        <v>11.380561892160587</v>
      </c>
      <c r="K18" s="12">
        <f>DCF估值!H53</f>
        <v>12.644678519939607</v>
      </c>
      <c r="L18" s="204"/>
    </row>
    <row r="19" spans="2:12" ht="24.95" customHeight="1">
      <c r="B19" s="204"/>
      <c r="C19" s="269" t="s">
        <v>638</v>
      </c>
      <c r="D19" s="178">
        <f ca="1">DCF估值!F44</f>
        <v>0.3206490265339933</v>
      </c>
      <c r="E19" s="11" t="s">
        <v>636</v>
      </c>
      <c r="F19" s="142">
        <f>DCF估值!C54</f>
        <v>6.7452521160000001E-2</v>
      </c>
      <c r="G19" s="12">
        <f>DCF估值!D54</f>
        <v>8.1014039927401456</v>
      </c>
      <c r="H19" s="288">
        <f>DCF估值!E54</f>
        <v>8.5811999884807317</v>
      </c>
      <c r="I19" s="288">
        <f>DCF估值!F54</f>
        <v>9.1621067332419663</v>
      </c>
      <c r="J19" s="288">
        <f>DCF估值!G54</f>
        <v>9.8798502850733509</v>
      </c>
      <c r="K19" s="12">
        <f>DCF估值!H54</f>
        <v>10.789234754418709</v>
      </c>
      <c r="L19" s="204"/>
    </row>
    <row r="20" spans="2:12" ht="24.95" customHeight="1">
      <c r="B20" s="204"/>
      <c r="C20" s="269" t="s">
        <v>639</v>
      </c>
      <c r="D20" s="178">
        <f ca="1">DCF估值!F45</f>
        <v>110.61281556625924</v>
      </c>
      <c r="E20" s="11" t="s">
        <v>636</v>
      </c>
      <c r="F20" s="142">
        <f>DCF估值!C55</f>
        <v>7.2452521160000005E-2</v>
      </c>
      <c r="G20" s="12">
        <f>DCF估值!D55</f>
        <v>7.3242129067651369</v>
      </c>
      <c r="H20" s="288">
        <f>DCF估值!E55</f>
        <v>7.7035381493602966</v>
      </c>
      <c r="I20" s="289">
        <f>DCF估值!F55</f>
        <v>8.1551812203851117</v>
      </c>
      <c r="J20" s="288">
        <f>DCF估值!G55</f>
        <v>8.7020021786926627</v>
      </c>
      <c r="K20" s="12">
        <f>DCF估值!H55</f>
        <v>9.3776307892587507</v>
      </c>
      <c r="L20" s="204"/>
    </row>
    <row r="21" spans="2:12" ht="24.95" customHeight="1">
      <c r="B21" s="204"/>
      <c r="C21" s="270" t="s">
        <v>640</v>
      </c>
      <c r="D21" s="178">
        <f ca="1">DCF估值!F47</f>
        <v>8.1551812203851117</v>
      </c>
      <c r="E21" s="11" t="s">
        <v>641</v>
      </c>
      <c r="F21" s="142">
        <f>DCF估值!C56</f>
        <v>7.745252116000001E-2</v>
      </c>
      <c r="G21" s="12">
        <f>DCF估值!D56</f>
        <v>6.6677610613085472</v>
      </c>
      <c r="H21" s="288">
        <f>DCF估值!E56</f>
        <v>6.9719780987278908</v>
      </c>
      <c r="I21" s="288">
        <f>DCF估值!F56</f>
        <v>7.3291461696749218</v>
      </c>
      <c r="J21" s="288">
        <f>DCF估值!G56</f>
        <v>7.7544078351810279</v>
      </c>
      <c r="K21" s="12">
        <f>DCF估值!H56</f>
        <v>8.2692878508001275</v>
      </c>
      <c r="L21" s="204"/>
    </row>
    <row r="22" spans="2:12" ht="24.75" customHeight="1">
      <c r="B22" s="204"/>
      <c r="C22" s="269" t="s">
        <v>642</v>
      </c>
      <c r="D22" s="178">
        <f>DCF估值!F48</f>
        <v>8.11</v>
      </c>
      <c r="E22" s="11" t="s">
        <v>641</v>
      </c>
      <c r="F22" s="142">
        <f>DCF估值!C57</f>
        <v>8.2452521160000014E-2</v>
      </c>
      <c r="G22" s="12">
        <f>DCF估值!D57</f>
        <v>6.1068041212324324</v>
      </c>
      <c r="H22" s="12">
        <f>DCF估值!E57</f>
        <v>6.3537841913655129</v>
      </c>
      <c r="I22" s="12">
        <f>DCF估值!F57</f>
        <v>6.6403111149395224</v>
      </c>
      <c r="J22" s="12">
        <f>DCF估值!G57</f>
        <v>6.9767099880448757</v>
      </c>
      <c r="K22" s="12">
        <f>DCF估值!H57</f>
        <v>7.377242837109022</v>
      </c>
      <c r="L22" s="204"/>
    </row>
    <row r="23" spans="2:12" ht="6" customHeight="1"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</row>
    <row r="30" spans="2:12">
      <c r="I30" s="319"/>
      <c r="J30" s="319"/>
    </row>
  </sheetData>
  <mergeCells count="5">
    <mergeCell ref="C6:D6"/>
    <mergeCell ref="C15:K15"/>
    <mergeCell ref="C16:E16"/>
    <mergeCell ref="F16:K16"/>
    <mergeCell ref="E6:K14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使用说明</vt:lpstr>
      <vt:lpstr>业务模型</vt:lpstr>
      <vt:lpstr>利润表</vt:lpstr>
      <vt:lpstr>资产负债表</vt:lpstr>
      <vt:lpstr>现金流量表</vt:lpstr>
      <vt:lpstr>利润表(单季度)</vt:lpstr>
      <vt:lpstr>资产负债假设</vt:lpstr>
      <vt:lpstr>资本开支假设</vt:lpstr>
      <vt:lpstr>IS</vt:lpstr>
      <vt:lpstr>BS</vt:lpstr>
      <vt:lpstr>CS</vt:lpstr>
      <vt:lpstr>DCF估值</vt:lpstr>
      <vt:lpstr>DCF估值结果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聂国娜</cp:lastModifiedBy>
  <dcterms:created xsi:type="dcterms:W3CDTF">2006-09-16T00:00:00Z</dcterms:created>
  <dcterms:modified xsi:type="dcterms:W3CDTF">2020-01-21T09:42:49Z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