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090"/>
  </bookViews>
  <sheets>
    <sheet name="封面" sheetId="15" r:id="rId1"/>
    <sheet name="DCF估值结果 " sheetId="14" r:id="rId2"/>
    <sheet name="业务模型" sheetId="1" r:id="rId3"/>
    <sheet name="行业" sheetId="9" r:id="rId4"/>
    <sheet name="护肤品分类" sheetId="10" r:id="rId5"/>
    <sheet name="利润表" sheetId="2" r:id="rId6"/>
    <sheet name="资本开支" sheetId="11" r:id="rId7"/>
    <sheet name="资产负债表假设" sheetId="12" r:id="rId8"/>
    <sheet name="IS" sheetId="5" r:id="rId9"/>
    <sheet name="BS" sheetId="3" r:id="rId10"/>
    <sheet name="CS" sheetId="4" r:id="rId11"/>
    <sheet name="DCF估值" sheetId="16" r:id="rId12"/>
  </sheets>
  <externalReferences>
    <externalReference r:id="rId13"/>
    <externalReference r:id="rId14"/>
  </externalReferences>
  <definedNames>
    <definedName name="G">[1]DCF!$F$38</definedName>
    <definedName name="WACC">[1]DCF!$F$19</definedName>
    <definedName name="使用说明">#REF!</definedName>
    <definedName name="一使用说明">#REF!</definedName>
  </definedNames>
  <calcPr calcId="144525"/>
</workbook>
</file>

<file path=xl/comments1.xml><?xml version="1.0" encoding="utf-8"?>
<comments xmlns="http://schemas.openxmlformats.org/spreadsheetml/2006/main">
  <authors>
    <author>sl</author>
  </authors>
  <commentList>
    <comment ref="A5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数据来源：中商产业研究</t>
        </r>
      </text>
    </comment>
    <comment ref="J34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面膜行业价格战逐年缓解预期，毛利率缓缓提升</t>
        </r>
      </text>
    </comment>
  </commentList>
</comments>
</file>

<file path=xl/comments2.xml><?xml version="1.0" encoding="utf-8"?>
<comments xmlns="http://schemas.openxmlformats.org/spreadsheetml/2006/main">
  <authors>
    <author>sl</author>
  </authors>
  <commentList>
    <comment ref="G27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计入了交易性金融资产科目</t>
        </r>
      </text>
    </comment>
  </commentList>
</comments>
</file>

<file path=xl/comments3.xml><?xml version="1.0" encoding="utf-8"?>
<comments xmlns="http://schemas.openxmlformats.org/spreadsheetml/2006/main">
  <authors>
    <author>sl</author>
  </authors>
  <commentList>
    <comment ref="R5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投资阿夫与河狸家</t>
        </r>
      </text>
    </comment>
  </commentList>
</comments>
</file>

<file path=xl/comments4.xml><?xml version="1.0" encoding="utf-8"?>
<comments xmlns="http://schemas.openxmlformats.org/spreadsheetml/2006/main">
  <authors>
    <author>sl</author>
  </authors>
  <commentList>
    <comment ref="D28" authorId="0">
      <text>
        <r>
          <rPr>
            <b/>
            <sz val="9"/>
            <rFont val="宋体"/>
            <charset val="134"/>
          </rPr>
          <t>sl:</t>
        </r>
        <r>
          <rPr>
            <sz val="9"/>
            <rFont val="宋体"/>
            <charset val="134"/>
          </rPr>
          <t xml:space="preserve">
债权资本占比</t>
        </r>
      </text>
    </comment>
  </commentList>
</comments>
</file>

<file path=xl/sharedStrings.xml><?xml version="1.0" encoding="utf-8"?>
<sst xmlns="http://schemas.openxmlformats.org/spreadsheetml/2006/main" count="379" uniqueCount="310">
  <si>
    <t>御家汇估值模型</t>
  </si>
  <si>
    <t>建模机构：</t>
  </si>
  <si>
    <t>勾股大数据</t>
  </si>
  <si>
    <t>建模标的：</t>
  </si>
  <si>
    <t>御家汇</t>
  </si>
  <si>
    <t>建模日期：</t>
  </si>
  <si>
    <t>证券代码：</t>
  </si>
  <si>
    <t>建模人员：</t>
  </si>
  <si>
    <t>mike</t>
  </si>
  <si>
    <t>行业：</t>
  </si>
  <si>
    <t>日用化妆品</t>
  </si>
  <si>
    <t>估值结果（元/股）：</t>
  </si>
  <si>
    <t>现价（元/股）：</t>
  </si>
  <si>
    <t>企业价值(亿元）：</t>
  </si>
  <si>
    <t>溢价率：</t>
  </si>
  <si>
    <t>本模型有效期：</t>
  </si>
  <si>
    <t>2019/12/6-2020/03/31</t>
  </si>
  <si>
    <t>本模型适应人员：</t>
  </si>
  <si>
    <t>基金经理、权益投资机构、高净值价值投资者</t>
  </si>
  <si>
    <t>免责声明</t>
  </si>
  <si>
    <t>本文的信息来源于已公开资料，本人对该等信息的准确性、完整性或可靠性不作任何保证。在任何情况下，本模型中的结果或所表达的意见均不构成对任何人的投资建议，在任何情况下，本公司、本公司员工或关联机构不承诺任何投资收益保证，不与投资者分项任何投资收益，也不对任何人因使用本模型所带来的任何后果负任何责任。投资者务必注意，据此模型做出的任何投资行为均与本公司、本公司员工或关联机构无关。用户须依靠自己的判断作出决策，风险自负。</t>
  </si>
  <si>
    <t>御家汇DCF估值结果</t>
  </si>
  <si>
    <t>估值参数</t>
  </si>
  <si>
    <t>估值结果</t>
  </si>
  <si>
    <t>敏感性分析</t>
  </si>
  <si>
    <t>企业价值总计（亿元）</t>
  </si>
  <si>
    <t>WACC/G</t>
  </si>
  <si>
    <t>减：净负债（亿元）</t>
  </si>
  <si>
    <t>减：少数股东权益（亿元）</t>
  </si>
  <si>
    <t>归母股东股权价值合计（亿元）</t>
  </si>
  <si>
    <t>股本(亿股）</t>
  </si>
  <si>
    <t>每股价值（元）</t>
  </si>
  <si>
    <t>当前股价（元/股)</t>
  </si>
  <si>
    <t>单位 : 亿元 , CNY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</si>
  <si>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</si>
  <si>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</si>
  <si>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</si>
  <si>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</si>
  <si>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</si>
  <si>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</si>
  <si>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</si>
  <si>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</si>
  <si>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</si>
  <si>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</si>
  <si>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</si>
  <si>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</si>
  <si>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</si>
  <si>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</si>
  <si>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</si>
  <si>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中国化妆品行业</t>
  </si>
  <si>
    <t>1103</t>
  </si>
  <si>
    <t>1340</t>
  </si>
  <si>
    <t>1625</t>
  </si>
  <si>
    <t>1825</t>
  </si>
  <si>
    <t>2049</t>
  </si>
  <si>
    <t>2222</t>
  </si>
  <si>
    <t>2514</t>
  </si>
  <si>
    <t>2619</t>
  </si>
  <si>
    <t>12.8%</t>
  </si>
  <si>
    <t>12%</t>
  </si>
  <si>
    <t>10%</t>
  </si>
  <si>
    <t>8%</t>
  </si>
  <si>
    <t>中国护肤品</t>
  </si>
  <si>
    <t>1269</t>
  </si>
  <si>
    <t>1392</t>
  </si>
  <si>
    <t>1508</t>
  </si>
  <si>
    <t>1610</t>
  </si>
  <si>
    <t>1697</t>
  </si>
  <si>
    <t>1787</t>
  </si>
  <si>
    <t>1888</t>
  </si>
  <si>
    <t>1998</t>
  </si>
  <si>
    <t>2114</t>
  </si>
  <si>
    <t>面膜</t>
  </si>
  <si>
    <t>87.91</t>
  </si>
  <si>
    <t>99.72</t>
  </si>
  <si>
    <t>115.51</t>
  </si>
  <si>
    <t>136.55</t>
  </si>
  <si>
    <t>158.76</t>
  </si>
  <si>
    <t>180.72</t>
  </si>
  <si>
    <t>205</t>
  </si>
  <si>
    <t>236</t>
  </si>
  <si>
    <t>面膜/护肤品</t>
  </si>
  <si>
    <t>水乳膏霜</t>
  </si>
  <si>
    <t>YOY</t>
  </si>
  <si>
    <t>占收入比例</t>
  </si>
  <si>
    <t>贴式面膜</t>
  </si>
  <si>
    <t>　非贴式面膜</t>
  </si>
  <si>
    <t>其他主营业务</t>
  </si>
  <si>
    <t>营业总收入</t>
  </si>
  <si>
    <t>　　　　　　中国大陆</t>
  </si>
  <si>
    <t>yoy</t>
  </si>
  <si>
    <t>收入贡献占比</t>
  </si>
  <si>
    <t>　　　　　　国外</t>
  </si>
  <si>
    <t>毛利率假设</t>
  </si>
  <si>
    <t>　　　　　　水乳膏霜</t>
  </si>
  <si>
    <t>　　　　　　贴式面膜</t>
  </si>
  <si>
    <t>　　　　　　非贴式面膜</t>
  </si>
  <si>
    <t>61</t>
  </si>
  <si>
    <t>　　　　　　其他主营业务</t>
  </si>
  <si>
    <t>80</t>
  </si>
  <si>
    <t>毛利率(%)</t>
  </si>
  <si>
    <t>营业成本</t>
  </si>
  <si>
    <t>占成本比例</t>
  </si>
  <si>
    <t>0</t>
  </si>
  <si>
    <t>　　　　　　其他业务</t>
  </si>
  <si>
    <t>毛利</t>
  </si>
  <si>
    <t>全球护肤品（亿美元）</t>
  </si>
  <si>
    <t>1378</t>
  </si>
  <si>
    <t>1381</t>
  </si>
  <si>
    <t>1410</t>
  </si>
  <si>
    <t>1337</t>
  </si>
  <si>
    <t>1385</t>
  </si>
  <si>
    <t>1459</t>
  </si>
  <si>
    <t>1327</t>
  </si>
  <si>
    <t>利润表假设：单位：亿元</t>
  </si>
  <si>
    <t>2017Q1</t>
  </si>
  <si>
    <t>2017Q2</t>
  </si>
  <si>
    <t>2017Q3</t>
  </si>
  <si>
    <t>2017Q4</t>
  </si>
  <si>
    <t>2018Q1</t>
  </si>
  <si>
    <t>2018Q2</t>
  </si>
  <si>
    <t>2018Q3</t>
  </si>
  <si>
    <t>2018Q4</t>
  </si>
  <si>
    <t>2019Q1</t>
  </si>
  <si>
    <t>2019Q2</t>
  </si>
  <si>
    <t>2019Q3</t>
  </si>
  <si>
    <t>营业总成本</t>
  </si>
  <si>
    <t>　　营业成本</t>
  </si>
  <si>
    <t>　　税金及附加</t>
  </si>
  <si>
    <t>%/收入</t>
  </si>
  <si>
    <t>　　销售费用</t>
  </si>
  <si>
    <t>　　管理费用</t>
  </si>
  <si>
    <t>　　研发费用</t>
  </si>
  <si>
    <t>　　财务费用</t>
  </si>
  <si>
    <t>　　　　其中：利息费用</t>
  </si>
  <si>
    <t>　　　　　　　减：利息收入</t>
  </si>
  <si>
    <t>　　加：其他收益</t>
  </si>
  <si>
    <t>　　投资净收益</t>
  </si>
  <si>
    <t>　　资产减值损失</t>
  </si>
  <si>
    <t>　　信用减值损失</t>
  </si>
  <si>
    <t>-0.03</t>
  </si>
  <si>
    <t>营业利润</t>
  </si>
  <si>
    <t>　　加：营业外收入</t>
  </si>
  <si>
    <t>　　减：营业外支出</t>
  </si>
  <si>
    <t>利润总额</t>
  </si>
  <si>
    <t>　　减：所得税</t>
  </si>
  <si>
    <t>所得税税率</t>
  </si>
  <si>
    <t>净利润</t>
  </si>
  <si>
    <t>　　减：少数股东损益</t>
  </si>
  <si>
    <t>　　归属于母公司所有者的净利润</t>
  </si>
  <si>
    <t>　　加：其他综合收益</t>
  </si>
  <si>
    <t>综合收益总额</t>
  </si>
  <si>
    <t>　　减：归属于少数股东的综合收益总额</t>
  </si>
  <si>
    <t>　　归属于母公司普通股东综合收益总额</t>
  </si>
  <si>
    <t>每股收益：</t>
  </si>
  <si>
    <t>CNY</t>
  </si>
  <si>
    <t>　　基本每股收益</t>
  </si>
  <si>
    <t>数据来源：Wind</t>
  </si>
  <si>
    <t>资本开支假设：</t>
  </si>
  <si>
    <t>固定资产新增</t>
  </si>
  <si>
    <t>无形资产新增</t>
  </si>
  <si>
    <t>长期投资新增</t>
  </si>
  <si>
    <t>资本开支合计</t>
  </si>
  <si>
    <t>固定资产</t>
  </si>
  <si>
    <t>期初余额</t>
  </si>
  <si>
    <t>新增</t>
  </si>
  <si>
    <t>折旧</t>
  </si>
  <si>
    <t>折旧比例</t>
  </si>
  <si>
    <t>期末余额</t>
  </si>
  <si>
    <t>无形资产</t>
  </si>
  <si>
    <t>摊销</t>
  </si>
  <si>
    <t>摊销比例</t>
  </si>
  <si>
    <t>长期股权投资</t>
  </si>
  <si>
    <t>计提损失</t>
  </si>
  <si>
    <t>经营性流动资产</t>
  </si>
  <si>
    <t>应收账款周转率</t>
  </si>
  <si>
    <t>预付账款周转率</t>
  </si>
  <si>
    <t>其他应收帐周转率</t>
  </si>
  <si>
    <t>存货周转率</t>
  </si>
  <si>
    <t>其他流动资产周转率</t>
  </si>
  <si>
    <t>经营性非流动资产</t>
  </si>
  <si>
    <t>长期待摊费用周转率</t>
  </si>
  <si>
    <t>递延所得税资产周转率</t>
  </si>
  <si>
    <t>经营性流动负债</t>
  </si>
  <si>
    <t>应付账款周转率</t>
  </si>
  <si>
    <t>预收账款周转率</t>
  </si>
  <si>
    <t>应付职工薪酬周转率</t>
  </si>
  <si>
    <t>应交税费周转率</t>
  </si>
  <si>
    <t>其他应付款周转率</t>
  </si>
  <si>
    <t>一年内到期的非流动负债周转率</t>
  </si>
  <si>
    <t>股权激励费用</t>
  </si>
  <si>
    <t>分配股利</t>
  </si>
  <si>
    <t>2018-09-30</t>
  </si>
  <si>
    <t>2019-09-30</t>
  </si>
  <si>
    <t>　　货币资金</t>
  </si>
  <si>
    <t>　　交易性金融资产</t>
  </si>
  <si>
    <t>　　应收账款</t>
  </si>
  <si>
    <t>　　预付款项</t>
  </si>
  <si>
    <t>　　其他应收款(合计)</t>
  </si>
  <si>
    <t>　　　　应收利息</t>
  </si>
  <si>
    <t>　　　　其他应收款</t>
  </si>
  <si>
    <t>　　存货</t>
  </si>
  <si>
    <t>　　其他流动资产</t>
  </si>
  <si>
    <t>　　流动资产合计</t>
  </si>
  <si>
    <t>　　长期股权投资</t>
  </si>
  <si>
    <t>　　投资性房地产</t>
  </si>
  <si>
    <t>　　固定资产(合计)</t>
  </si>
  <si>
    <t>　　在建工程(合计)</t>
  </si>
  <si>
    <t>　　无形资产</t>
  </si>
  <si>
    <t>　　长期待摊费用</t>
  </si>
  <si>
    <t>　　递延所得税资产</t>
  </si>
  <si>
    <t>　　非流动资产合计</t>
  </si>
  <si>
    <t>资产总计</t>
  </si>
  <si>
    <t>　　短期借款</t>
  </si>
  <si>
    <t>　　应付账款</t>
  </si>
  <si>
    <t>　　预收款项</t>
  </si>
  <si>
    <t>　　应付职工薪酬</t>
  </si>
  <si>
    <t>　　应交税费</t>
  </si>
  <si>
    <t>　　其他应付款</t>
  </si>
  <si>
    <t>　　一年内到期的非流动负债</t>
  </si>
  <si>
    <t>　　流动负债合计</t>
  </si>
  <si>
    <t>　　长期借款</t>
  </si>
  <si>
    <t>　　预计负债</t>
  </si>
  <si>
    <t>　　递延收益-非流动负债</t>
  </si>
  <si>
    <t>　　非流动负债合计</t>
  </si>
  <si>
    <t>　　负债合计</t>
  </si>
  <si>
    <t>所有者权益(或股东权益)：</t>
  </si>
  <si>
    <t>　　实收资本(或股本)</t>
  </si>
  <si>
    <t>　　资本公积金</t>
  </si>
  <si>
    <t>　　其它综合收益</t>
  </si>
  <si>
    <t>　　盈余公积金</t>
  </si>
  <si>
    <t>　　未分配利润</t>
  </si>
  <si>
    <t>　　归属于母公司所有者权益合计</t>
  </si>
  <si>
    <t>　　少数股东权益</t>
  </si>
  <si>
    <t>　　所有者权益合计</t>
  </si>
  <si>
    <t>负债和所有者权益总计</t>
  </si>
  <si>
    <t>有息负债</t>
  </si>
  <si>
    <t>利率</t>
  </si>
  <si>
    <t>费用</t>
  </si>
  <si>
    <t>御家汇现金流量表预测：单位-亿元</t>
  </si>
  <si>
    <t>　　净利润</t>
  </si>
  <si>
    <t>　　加：资产减值准备</t>
  </si>
  <si>
    <t>　　　　固定资产折旧、油气资产折耗、生产性生物资产折旧</t>
  </si>
  <si>
    <t>　　　　无形资产摊销</t>
  </si>
  <si>
    <t>　　　　使用权资产折旧</t>
  </si>
  <si>
    <t>　　　　长期待摊费用摊销</t>
  </si>
  <si>
    <t>　　　　处置固定资产、无形资产和其他长期资产的损失</t>
  </si>
  <si>
    <t>　　　　财务费用</t>
  </si>
  <si>
    <t>　　　　投资损失</t>
  </si>
  <si>
    <t>　　　　递延所得税资产减少</t>
  </si>
  <si>
    <t>　　　　递延所得税负债增加</t>
  </si>
  <si>
    <t>　　　　存货的减少</t>
  </si>
  <si>
    <t>　　　　经营性应收项目的减少</t>
  </si>
  <si>
    <t>　　　　经营性应付项目的增加</t>
  </si>
  <si>
    <t>　　　　未确认的投资损失</t>
  </si>
  <si>
    <t>　　　　其他</t>
  </si>
  <si>
    <t>经营活动产生的现金流量净额</t>
  </si>
  <si>
    <t>投资活动产生的现金流量：</t>
  </si>
  <si>
    <t>　　取得投资收益收到的现金</t>
  </si>
  <si>
    <t>　　处置固定资产、无形资产和其他长期资产收回的现金净额</t>
  </si>
  <si>
    <t>　　收到其他与投资活动有关的现金</t>
  </si>
  <si>
    <t>　　支付其他与投资活动有关的现金</t>
  </si>
  <si>
    <t>　　购建固定资产、无形资产和其他长期资产支付的现金</t>
  </si>
  <si>
    <t>　　投资活动产生的现金流量净额</t>
  </si>
  <si>
    <t>筹资活动产生的现金流量：</t>
  </si>
  <si>
    <t>　　吸收投资收到的现金</t>
  </si>
  <si>
    <t>　　其中：子公司吸收少数股东投资收到的现金</t>
  </si>
  <si>
    <t>借贷净现金</t>
  </si>
  <si>
    <t>　　收到其他与筹资活动有关的现金</t>
  </si>
  <si>
    <t>　　分配股利、利润或偿付利息支付的现金</t>
  </si>
  <si>
    <t>　　支付其他与筹资活动有关的现金</t>
  </si>
  <si>
    <t>　　筹资活动产生的现金流量净额</t>
  </si>
  <si>
    <t>汇率变动对现金的影响</t>
  </si>
  <si>
    <t>现金及现金等价物净增加额</t>
  </si>
  <si>
    <t>　　期初现金及现金等价物余额</t>
  </si>
  <si>
    <t>　　期末现金及现金等价物余额</t>
  </si>
  <si>
    <t>营运资本变动</t>
  </si>
  <si>
    <t>加：所得税</t>
  </si>
  <si>
    <t>加：财务费用</t>
  </si>
  <si>
    <t>息税前利润（EBIT）</t>
  </si>
  <si>
    <t>同比变化（%）</t>
  </si>
  <si>
    <t>减：所得税（Taxes on EBIT）</t>
  </si>
  <si>
    <t>税后经营利润 (NOPAT)</t>
  </si>
  <si>
    <t>加：折旧</t>
  </si>
  <si>
    <t>加：摊销</t>
  </si>
  <si>
    <t>营运资本的增加</t>
  </si>
  <si>
    <t xml:space="preserve">    资本性支出</t>
  </si>
  <si>
    <t xml:space="preserve">企业自由现金流量 </t>
  </si>
  <si>
    <t>参数假设</t>
  </si>
  <si>
    <t>适用折现率：</t>
  </si>
  <si>
    <t>永续增长率g</t>
  </si>
  <si>
    <t>税后债务成本率</t>
  </si>
  <si>
    <t>股权成本率</t>
  </si>
  <si>
    <t>无风险报酬率</t>
  </si>
  <si>
    <t>风险补偿率</t>
  </si>
  <si>
    <t>此处高折现率含义：考虑到面膜行业处于价格战阶段，企业前景不明朗，给与较高的风险收益率</t>
  </si>
  <si>
    <t>贝塔系数</t>
  </si>
  <si>
    <t>目标资本结构</t>
  </si>
  <si>
    <t>现值测算</t>
  </si>
  <si>
    <t>折现系数</t>
  </si>
  <si>
    <t>企业自由现金流量现值</t>
  </si>
  <si>
    <t>预测期企业自由现金流量现值合计</t>
  </si>
  <si>
    <t>永续期企业自由现金流量现值合计</t>
  </si>
  <si>
    <t>企业价值总计</t>
  </si>
  <si>
    <t>减：净负债</t>
  </si>
  <si>
    <t>减：少数股东损益</t>
  </si>
  <si>
    <t>美元</t>
  </si>
  <si>
    <t>归母股东股权价值合计（百万人民币）</t>
  </si>
  <si>
    <t>每股价值</t>
  </si>
  <si>
    <t>WACC/g</t>
  </si>
</sst>
</file>

<file path=xl/styles.xml><?xml version="1.0" encoding="utf-8"?>
<styleSheet xmlns="http://schemas.openxmlformats.org/spreadsheetml/2006/main">
  <numFmts count="12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  <numFmt numFmtId="176" formatCode="0_ "/>
    <numFmt numFmtId="177" formatCode="0.00_ "/>
    <numFmt numFmtId="178" formatCode="0.0%"/>
    <numFmt numFmtId="179" formatCode="#,##0.0000_ "/>
    <numFmt numFmtId="180" formatCode="0.0000_ "/>
    <numFmt numFmtId="181" formatCode="0.000_ "/>
    <numFmt numFmtId="182" formatCode="#,##0.00_ "/>
    <numFmt numFmtId="183" formatCode="0.0_ "/>
  </numFmts>
  <fonts count="42">
    <font>
      <sz val="11"/>
      <color theme="1"/>
      <name val="宋体"/>
      <charset val="134"/>
      <scheme val="minor"/>
    </font>
    <font>
      <sz val="11"/>
      <color theme="1"/>
      <name val="楷体"/>
      <charset val="134"/>
    </font>
    <font>
      <sz val="12"/>
      <color theme="1"/>
      <name val="楷体"/>
      <charset val="134"/>
    </font>
    <font>
      <sz val="11"/>
      <color rgb="FFFF0000"/>
      <name val="楷体"/>
      <charset val="134"/>
    </font>
    <font>
      <sz val="12"/>
      <color theme="1"/>
      <name val="宋体"/>
      <charset val="134"/>
      <scheme val="minor"/>
    </font>
    <font>
      <b/>
      <sz val="11"/>
      <name val="楷体"/>
      <charset val="134"/>
    </font>
    <font>
      <b/>
      <sz val="12"/>
      <name val="楷体"/>
      <charset val="134"/>
    </font>
    <font>
      <sz val="11"/>
      <name val="楷体"/>
      <charset val="134"/>
    </font>
    <font>
      <sz val="12"/>
      <name val="楷体"/>
      <charset val="134"/>
    </font>
    <font>
      <b/>
      <i/>
      <sz val="12"/>
      <name val="楷体"/>
      <charset val="134"/>
    </font>
    <font>
      <b/>
      <i/>
      <sz val="12"/>
      <color rgb="FFFF0000"/>
      <name val="楷体"/>
      <charset val="134"/>
    </font>
    <font>
      <sz val="12"/>
      <color rgb="FFFF0000"/>
      <name val="楷体"/>
      <charset val="134"/>
    </font>
    <font>
      <sz val="11"/>
      <color indexed="10"/>
      <name val="楷体"/>
      <charset val="134"/>
    </font>
    <font>
      <sz val="12"/>
      <color indexed="10"/>
      <name val="楷体"/>
      <charset val="134"/>
    </font>
    <font>
      <b/>
      <sz val="12"/>
      <color theme="1"/>
      <name val="楷体"/>
      <charset val="134"/>
    </font>
    <font>
      <b/>
      <sz val="11"/>
      <color theme="1"/>
      <name val="宋体"/>
      <charset val="134"/>
      <scheme val="minor"/>
    </font>
    <font>
      <sz val="14"/>
      <color rgb="FFFF0000"/>
      <name val="楷体"/>
      <charset val="134"/>
    </font>
    <font>
      <sz val="14"/>
      <color theme="1"/>
      <name val="楷体"/>
      <charset val="134"/>
    </font>
    <font>
      <b/>
      <i/>
      <sz val="14"/>
      <color rgb="FFFF0000"/>
      <name val="楷体"/>
      <charset val="134"/>
    </font>
    <font>
      <sz val="16"/>
      <color theme="1"/>
      <name val="楷体"/>
      <charset val="134"/>
    </font>
    <font>
      <sz val="14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4" tint="0.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4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9" fillId="23" borderId="1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19" borderId="16" applyNumberFormat="0" applyFont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6" fillId="0" borderId="14" applyNumberFormat="0" applyFill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1" fillId="0" borderId="18" applyNumberFormat="0" applyFill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9" fillId="17" borderId="19" applyNumberFormat="0" applyAlignment="0" applyProtection="0">
      <alignment vertical="center"/>
    </xf>
    <xf numFmtId="0" fontId="27" fillId="17" borderId="15" applyNumberFormat="0" applyAlignment="0" applyProtection="0">
      <alignment vertical="center"/>
    </xf>
    <xf numFmtId="0" fontId="23" fillId="10" borderId="12" applyNumberFormat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30" fillId="0" borderId="17" applyNumberFormat="0" applyFill="0" applyAlignment="0" applyProtection="0">
      <alignment vertical="center"/>
    </xf>
    <xf numFmtId="0" fontId="25" fillId="0" borderId="13" applyNumberFormat="0" applyFill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1" fillId="14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</cellStyleXfs>
  <cellXfs count="15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>
      <alignment vertical="center"/>
    </xf>
    <xf numFmtId="0" fontId="2" fillId="2" borderId="0" xfId="0" applyFont="1" applyFill="1">
      <alignment vertical="center"/>
    </xf>
    <xf numFmtId="177" fontId="0" fillId="0" borderId="0" xfId="0" applyNumberFormat="1" applyAlignment="1">
      <alignment horizontal="center" vertical="center"/>
    </xf>
    <xf numFmtId="178" fontId="0" fillId="0" borderId="0" xfId="11" applyNumberForma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9" fontId="0" fillId="0" borderId="0" xfId="1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0" fontId="2" fillId="0" borderId="0" xfId="11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0" xfId="11" applyNumberFormat="1" applyFont="1" applyFill="1" applyBorder="1" applyAlignment="1" applyProtection="1">
      <alignment horizontal="center" vertical="center"/>
    </xf>
    <xf numFmtId="0" fontId="4" fillId="3" borderId="0" xfId="0" applyFont="1" applyFill="1" applyAlignment="1">
      <alignment horizontal="center" vertical="center"/>
    </xf>
    <xf numFmtId="180" fontId="0" fillId="0" borderId="0" xfId="0" applyNumberFormat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0" fontId="5" fillId="3" borderId="0" xfId="0" applyFont="1" applyFill="1" applyBorder="1" applyAlignment="1"/>
    <xf numFmtId="0" fontId="6" fillId="3" borderId="0" xfId="0" applyFont="1" applyFill="1" applyBorder="1" applyAlignment="1"/>
    <xf numFmtId="0" fontId="6" fillId="3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43" fontId="8" fillId="0" borderId="0" xfId="0" applyNumberFormat="1" applyFont="1" applyFill="1" applyBorder="1" applyAlignment="1"/>
    <xf numFmtId="43" fontId="8" fillId="0" borderId="0" xfId="0" applyNumberFormat="1" applyFont="1" applyFill="1" applyBorder="1" applyAlignment="1">
      <alignment horizontal="center"/>
    </xf>
    <xf numFmtId="43" fontId="7" fillId="0" borderId="0" xfId="0" applyNumberFormat="1" applyFont="1" applyFill="1" applyBorder="1" applyAlignment="1">
      <alignment vertical="center"/>
    </xf>
    <xf numFmtId="178" fontId="8" fillId="4" borderId="0" xfId="11" applyNumberFormat="1" applyFont="1" applyFill="1" applyBorder="1" applyAlignment="1">
      <alignment horizontal="center" vertical="center"/>
    </xf>
    <xf numFmtId="10" fontId="7" fillId="5" borderId="0" xfId="0" applyNumberFormat="1" applyFont="1" applyFill="1" applyBorder="1" applyAlignment="1">
      <alignment horizontal="center" vertical="center"/>
    </xf>
    <xf numFmtId="177" fontId="9" fillId="0" borderId="0" xfId="8" applyNumberFormat="1" applyFont="1" applyFill="1" applyBorder="1" applyAlignment="1">
      <alignment horizontal="center" vertical="center"/>
    </xf>
    <xf numFmtId="177" fontId="8" fillId="0" borderId="0" xfId="8" applyNumberFormat="1" applyFont="1" applyFill="1" applyBorder="1" applyAlignment="1">
      <alignment horizontal="center" vertical="center"/>
    </xf>
    <xf numFmtId="177" fontId="10" fillId="0" borderId="1" xfId="8" applyNumberFormat="1" applyFont="1" applyFill="1" applyBorder="1" applyAlignment="1">
      <alignment horizontal="center" vertical="center"/>
    </xf>
    <xf numFmtId="177" fontId="9" fillId="0" borderId="1" xfId="8" applyNumberFormat="1" applyFont="1" applyFill="1" applyBorder="1" applyAlignment="1">
      <alignment horizontal="center" vertical="center"/>
    </xf>
    <xf numFmtId="10" fontId="1" fillId="5" borderId="0" xfId="0" applyNumberFormat="1" applyFont="1" applyFill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0" fontId="0" fillId="0" borderId="0" xfId="0" applyNumberFormat="1" applyFill="1" applyAlignment="1">
      <alignment horizontal="center" vertical="center"/>
    </xf>
    <xf numFmtId="49" fontId="1" fillId="0" borderId="0" xfId="0" applyNumberFormat="1" applyFont="1" applyAlignment="1">
      <alignment vertical="top"/>
    </xf>
    <xf numFmtId="49" fontId="1" fillId="0" borderId="0" xfId="0" applyNumberFormat="1" applyFont="1" applyAlignment="1">
      <alignment horizontal="center" vertical="top"/>
    </xf>
    <xf numFmtId="49" fontId="2" fillId="0" borderId="0" xfId="0" applyNumberFormat="1" applyFont="1" applyAlignment="1">
      <alignment horizontal="center" vertical="top"/>
    </xf>
    <xf numFmtId="0" fontId="2" fillId="0" borderId="0" xfId="0" applyFont="1" applyAlignment="1">
      <alignment horizontal="center" vertical="center"/>
    </xf>
    <xf numFmtId="49" fontId="1" fillId="2" borderId="0" xfId="0" applyNumberFormat="1" applyFont="1" applyFill="1" applyAlignment="1">
      <alignment vertical="top"/>
    </xf>
    <xf numFmtId="0" fontId="1" fillId="2" borderId="0" xfId="0" applyFont="1" applyFill="1" applyAlignment="1">
      <alignment horizontal="center" vertical="center"/>
    </xf>
    <xf numFmtId="0" fontId="11" fillId="6" borderId="0" xfId="0" applyFont="1" applyFill="1" applyAlignment="1">
      <alignment horizontal="center" vertical="center"/>
    </xf>
    <xf numFmtId="182" fontId="1" fillId="0" borderId="0" xfId="0" applyNumberFormat="1" applyFont="1" applyAlignment="1">
      <alignment horizontal="center" vertical="top"/>
    </xf>
    <xf numFmtId="177" fontId="2" fillId="0" borderId="0" xfId="0" applyNumberFormat="1" applyFont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1" fillId="2" borderId="0" xfId="0" applyFont="1" applyFill="1">
      <alignment vertical="center"/>
    </xf>
    <xf numFmtId="182" fontId="1" fillId="2" borderId="0" xfId="0" applyNumberFormat="1" applyFont="1" applyFill="1" applyAlignment="1">
      <alignment horizontal="center" vertical="top"/>
    </xf>
    <xf numFmtId="177" fontId="2" fillId="6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177" fontId="0" fillId="0" borderId="0" xfId="0" applyNumberFormat="1">
      <alignment vertical="center"/>
    </xf>
    <xf numFmtId="49" fontId="12" fillId="0" borderId="0" xfId="0" applyNumberFormat="1" applyFont="1" applyAlignment="1">
      <alignment vertical="top"/>
    </xf>
    <xf numFmtId="49" fontId="2" fillId="0" borderId="0" xfId="0" applyNumberFormat="1" applyFont="1" applyAlignment="1">
      <alignment vertical="top"/>
    </xf>
    <xf numFmtId="49" fontId="0" fillId="0" borderId="0" xfId="0" applyNumberFormat="1" applyAlignment="1">
      <alignment vertical="top"/>
    </xf>
    <xf numFmtId="49" fontId="2" fillId="2" borderId="0" xfId="0" applyNumberFormat="1" applyFont="1" applyFill="1" applyAlignment="1">
      <alignment vertical="top"/>
    </xf>
    <xf numFmtId="0" fontId="1" fillId="7" borderId="0" xfId="0" applyFont="1" applyFill="1" applyAlignment="1">
      <alignment horizontal="center" vertical="center"/>
    </xf>
    <xf numFmtId="0" fontId="2" fillId="0" borderId="0" xfId="0" applyFont="1">
      <alignment vertical="center"/>
    </xf>
    <xf numFmtId="182" fontId="2" fillId="0" borderId="0" xfId="0" applyNumberFormat="1" applyFont="1" applyAlignment="1">
      <alignment horizontal="center" vertical="top"/>
    </xf>
    <xf numFmtId="182" fontId="2" fillId="2" borderId="0" xfId="0" applyNumberFormat="1" applyFont="1" applyFill="1" applyAlignment="1">
      <alignment horizontal="center" vertical="top"/>
    </xf>
    <xf numFmtId="9" fontId="1" fillId="0" borderId="0" xfId="0" applyNumberFormat="1" applyFont="1" applyAlignment="1">
      <alignment horizontal="center" vertical="center"/>
    </xf>
    <xf numFmtId="9" fontId="1" fillId="0" borderId="0" xfId="11" applyFont="1" applyAlignment="1">
      <alignment horizontal="center" vertical="center"/>
    </xf>
    <xf numFmtId="177" fontId="1" fillId="0" borderId="0" xfId="0" applyNumberFormat="1" applyFont="1" applyAlignment="1">
      <alignment horizontal="center" vertical="center"/>
    </xf>
    <xf numFmtId="182" fontId="0" fillId="0" borderId="0" xfId="0" applyNumberFormat="1" applyAlignment="1">
      <alignment vertical="top"/>
    </xf>
    <xf numFmtId="49" fontId="13" fillId="0" borderId="0" xfId="0" applyNumberFormat="1" applyFont="1" applyAlignment="1">
      <alignment vertical="top"/>
    </xf>
    <xf numFmtId="0" fontId="2" fillId="7" borderId="0" xfId="0" applyFont="1" applyFill="1" applyAlignment="1">
      <alignment horizontal="center" vertical="center"/>
    </xf>
    <xf numFmtId="178" fontId="2" fillId="0" borderId="0" xfId="11" applyNumberFormat="1" applyFont="1" applyAlignment="1">
      <alignment horizontal="center" vertical="center"/>
    </xf>
    <xf numFmtId="177" fontId="2" fillId="7" borderId="0" xfId="0" applyNumberFormat="1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177" fontId="2" fillId="0" borderId="0" xfId="0" applyNumberFormat="1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183" fontId="2" fillId="0" borderId="0" xfId="0" applyNumberFormat="1" applyFont="1" applyAlignment="1">
      <alignment horizontal="center" vertical="center"/>
    </xf>
    <xf numFmtId="181" fontId="2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9" fontId="2" fillId="0" borderId="0" xfId="11" applyFont="1" applyAlignment="1">
      <alignment horizontal="center" vertical="center"/>
    </xf>
    <xf numFmtId="49" fontId="0" fillId="0" borderId="0" xfId="0" applyNumberFormat="1" applyAlignment="1">
      <alignment horizontal="center" vertical="top"/>
    </xf>
    <xf numFmtId="182" fontId="2" fillId="6" borderId="0" xfId="0" applyNumberFormat="1" applyFont="1" applyFill="1" applyAlignment="1">
      <alignment horizontal="center" vertical="top"/>
    </xf>
    <xf numFmtId="178" fontId="2" fillId="0" borderId="0" xfId="11" applyNumberFormat="1" applyFont="1" applyAlignment="1">
      <alignment horizontal="center" vertical="top"/>
    </xf>
    <xf numFmtId="178" fontId="11" fillId="0" borderId="0" xfId="11" applyNumberFormat="1" applyFont="1" applyAlignment="1">
      <alignment horizontal="center" vertical="top"/>
    </xf>
    <xf numFmtId="10" fontId="2" fillId="0" borderId="0" xfId="11" applyNumberFormat="1" applyFont="1" applyAlignment="1">
      <alignment horizontal="center" vertical="top"/>
    </xf>
    <xf numFmtId="178" fontId="1" fillId="0" borderId="0" xfId="11" applyNumberFormat="1" applyFont="1" applyAlignment="1">
      <alignment horizontal="center" vertical="center"/>
    </xf>
    <xf numFmtId="9" fontId="2" fillId="0" borderId="0" xfId="0" applyNumberFormat="1" applyFont="1" applyAlignment="1">
      <alignment horizontal="center" vertical="center"/>
    </xf>
    <xf numFmtId="179" fontId="2" fillId="0" borderId="0" xfId="0" applyNumberFormat="1" applyFont="1" applyAlignment="1">
      <alignment horizontal="center" vertical="top"/>
    </xf>
    <xf numFmtId="0" fontId="15" fillId="0" borderId="0" xfId="0" applyFont="1">
      <alignment vertical="center"/>
    </xf>
    <xf numFmtId="0" fontId="0" fillId="0" borderId="0" xfId="0" applyFill="1">
      <alignment vertical="center"/>
    </xf>
    <xf numFmtId="49" fontId="2" fillId="2" borderId="0" xfId="0" applyNumberFormat="1" applyFont="1" applyFill="1" applyAlignment="1">
      <alignment horizontal="center" vertical="top"/>
    </xf>
    <xf numFmtId="0" fontId="2" fillId="0" borderId="0" xfId="0" applyFont="1" applyAlignment="1">
      <alignment vertical="center"/>
    </xf>
    <xf numFmtId="0" fontId="2" fillId="0" borderId="0" xfId="0" applyFont="1" applyFill="1" applyAlignment="1">
      <alignment horizontal="center" vertical="center"/>
    </xf>
    <xf numFmtId="182" fontId="2" fillId="0" borderId="0" xfId="0" applyNumberFormat="1" applyFont="1" applyFill="1" applyAlignment="1">
      <alignment horizontal="center" vertical="top"/>
    </xf>
    <xf numFmtId="176" fontId="2" fillId="0" borderId="0" xfId="0" applyNumberFormat="1" applyFont="1" applyAlignment="1">
      <alignment horizontal="center" vertical="center"/>
    </xf>
    <xf numFmtId="9" fontId="11" fillId="0" borderId="0" xfId="0" applyNumberFormat="1" applyFont="1" applyAlignment="1">
      <alignment horizontal="center" vertical="center"/>
    </xf>
    <xf numFmtId="183" fontId="11" fillId="6" borderId="0" xfId="0" applyNumberFormat="1" applyFont="1" applyFill="1" applyAlignment="1">
      <alignment horizontal="center" vertical="center"/>
    </xf>
    <xf numFmtId="0" fontId="11" fillId="0" borderId="0" xfId="0" applyFont="1" applyAlignment="1">
      <alignment horizontal="center" vertical="center"/>
    </xf>
    <xf numFmtId="177" fontId="11" fillId="6" borderId="0" xfId="0" applyNumberFormat="1" applyFont="1" applyFill="1" applyAlignment="1">
      <alignment horizontal="center" vertical="center"/>
    </xf>
    <xf numFmtId="177" fontId="2" fillId="0" borderId="0" xfId="0" applyNumberFormat="1" applyFont="1" applyFill="1" applyAlignment="1">
      <alignment horizontal="center" vertical="center"/>
    </xf>
    <xf numFmtId="183" fontId="2" fillId="6" borderId="0" xfId="0" applyNumberFormat="1" applyFont="1" applyFill="1" applyAlignment="1">
      <alignment horizontal="center" vertical="center"/>
    </xf>
    <xf numFmtId="178" fontId="11" fillId="0" borderId="0" xfId="11" applyNumberFormat="1" applyFont="1" applyAlignment="1">
      <alignment horizontal="center" vertical="center"/>
    </xf>
    <xf numFmtId="177" fontId="1" fillId="2" borderId="0" xfId="0" applyNumberFormat="1" applyFont="1" applyFill="1" applyAlignment="1">
      <alignment horizontal="center" vertical="center"/>
    </xf>
    <xf numFmtId="177" fontId="1" fillId="6" borderId="0" xfId="0" applyNumberFormat="1" applyFont="1" applyFill="1" applyAlignment="1">
      <alignment horizontal="center" vertical="center"/>
    </xf>
    <xf numFmtId="49" fontId="0" fillId="0" borderId="0" xfId="0" applyNumberFormat="1" applyFill="1" applyAlignment="1">
      <alignment vertical="top"/>
    </xf>
    <xf numFmtId="49" fontId="13" fillId="0" borderId="0" xfId="0" applyNumberFormat="1" applyFont="1" applyAlignment="1">
      <alignment horizontal="center" vertical="top"/>
    </xf>
    <xf numFmtId="0" fontId="16" fillId="4" borderId="2" xfId="0" applyNumberFormat="1" applyFont="1" applyFill="1" applyBorder="1" applyAlignment="1">
      <alignment horizontal="center" vertical="center"/>
    </xf>
    <xf numFmtId="0" fontId="16" fillId="4" borderId="3" xfId="0" applyNumberFormat="1" applyFont="1" applyFill="1" applyBorder="1" applyAlignment="1">
      <alignment horizontal="center" vertical="center"/>
    </xf>
    <xf numFmtId="0" fontId="1" fillId="0" borderId="0" xfId="0" applyNumberFormat="1" applyFont="1" applyFill="1" applyAlignment="1">
      <alignment horizontal="center" vertical="center"/>
    </xf>
    <xf numFmtId="0" fontId="17" fillId="4" borderId="4" xfId="0" applyNumberFormat="1" applyFont="1" applyFill="1" applyBorder="1" applyAlignment="1">
      <alignment horizontal="center" vertical="center"/>
    </xf>
    <xf numFmtId="0" fontId="17" fillId="4" borderId="5" xfId="0" applyNumberFormat="1" applyFont="1" applyFill="1" applyBorder="1" applyAlignment="1">
      <alignment horizontal="center" vertical="center"/>
    </xf>
    <xf numFmtId="0" fontId="17" fillId="4" borderId="6" xfId="0" applyNumberFormat="1" applyFont="1" applyFill="1" applyBorder="1" applyAlignment="1">
      <alignment horizontal="center" vertical="center"/>
    </xf>
    <xf numFmtId="0" fontId="17" fillId="0" borderId="0" xfId="0" applyNumberFormat="1" applyFont="1">
      <alignment vertical="center"/>
    </xf>
    <xf numFmtId="0" fontId="17" fillId="0" borderId="7" xfId="0" applyNumberFormat="1" applyFont="1" applyBorder="1">
      <alignment vertical="center"/>
    </xf>
    <xf numFmtId="10" fontId="17" fillId="0" borderId="0" xfId="0" applyNumberFormat="1" applyFont="1" applyAlignment="1">
      <alignment horizontal="center" vertical="center"/>
    </xf>
    <xf numFmtId="10" fontId="17" fillId="0" borderId="8" xfId="0" applyNumberFormat="1" applyFont="1" applyBorder="1" applyAlignment="1">
      <alignment horizontal="center" vertical="center"/>
    </xf>
    <xf numFmtId="0" fontId="17" fillId="0" borderId="9" xfId="0" applyNumberFormat="1" applyFont="1" applyBorder="1">
      <alignment vertical="center"/>
    </xf>
    <xf numFmtId="10" fontId="17" fillId="0" borderId="1" xfId="0" applyNumberFormat="1" applyFont="1" applyBorder="1" applyAlignment="1">
      <alignment horizontal="center" vertical="center"/>
    </xf>
    <xf numFmtId="0" fontId="17" fillId="0" borderId="1" xfId="0" applyNumberFormat="1" applyFont="1" applyBorder="1">
      <alignment vertical="center"/>
    </xf>
    <xf numFmtId="10" fontId="17" fillId="0" borderId="10" xfId="0" applyNumberFormat="1" applyFont="1" applyBorder="1" applyAlignment="1">
      <alignment horizontal="center" vertical="center"/>
    </xf>
    <xf numFmtId="0" fontId="17" fillId="4" borderId="5" xfId="0" applyFont="1" applyFill="1" applyBorder="1" applyAlignment="1">
      <alignment horizontal="center" vertical="center"/>
    </xf>
    <xf numFmtId="0" fontId="17" fillId="2" borderId="7" xfId="0" applyFont="1" applyFill="1" applyBorder="1">
      <alignment vertical="center"/>
    </xf>
    <xf numFmtId="177" fontId="17" fillId="2" borderId="0" xfId="0" applyNumberFormat="1" applyFont="1" applyFill="1" applyAlignment="1">
      <alignment horizontal="center" vertical="center"/>
    </xf>
    <xf numFmtId="0" fontId="17" fillId="0" borderId="0" xfId="0" applyNumberFormat="1" applyFont="1" applyAlignment="1">
      <alignment horizontal="center" vertical="center"/>
    </xf>
    <xf numFmtId="0" fontId="17" fillId="0" borderId="0" xfId="0" applyFont="1">
      <alignment vertical="center"/>
    </xf>
    <xf numFmtId="0" fontId="17" fillId="0" borderId="7" xfId="0" applyFont="1" applyBorder="1">
      <alignment vertical="center"/>
    </xf>
    <xf numFmtId="177" fontId="17" fillId="0" borderId="0" xfId="0" applyNumberFormat="1" applyFont="1" applyAlignment="1">
      <alignment horizontal="center" vertical="center"/>
    </xf>
    <xf numFmtId="178" fontId="17" fillId="5" borderId="0" xfId="11" applyNumberFormat="1" applyFont="1" applyFill="1" applyAlignment="1">
      <alignment horizontal="center" vertical="center"/>
    </xf>
    <xf numFmtId="177" fontId="17" fillId="5" borderId="0" xfId="11" applyNumberFormat="1" applyFont="1" applyFill="1" applyAlignment="1">
      <alignment horizontal="center" vertical="center"/>
    </xf>
    <xf numFmtId="177" fontId="18" fillId="5" borderId="0" xfId="11" applyNumberFormat="1" applyFont="1" applyFill="1" applyAlignment="1">
      <alignment horizontal="center" vertical="center"/>
    </xf>
    <xf numFmtId="0" fontId="17" fillId="4" borderId="9" xfId="0" applyFont="1" applyFill="1" applyBorder="1">
      <alignment vertical="center"/>
    </xf>
    <xf numFmtId="177" fontId="17" fillId="4" borderId="1" xfId="0" applyNumberFormat="1" applyFont="1" applyFill="1" applyBorder="1" applyAlignment="1">
      <alignment horizontal="center" vertical="center"/>
    </xf>
    <xf numFmtId="0" fontId="16" fillId="4" borderId="11" xfId="0" applyNumberFormat="1" applyFont="1" applyFill="1" applyBorder="1" applyAlignment="1">
      <alignment horizontal="center" vertical="center"/>
    </xf>
    <xf numFmtId="0" fontId="17" fillId="4" borderId="6" xfId="0" applyFont="1" applyFill="1" applyBorder="1" applyAlignment="1">
      <alignment horizontal="center" vertical="center"/>
    </xf>
    <xf numFmtId="0" fontId="17" fillId="0" borderId="8" xfId="0" applyFont="1" applyBorder="1">
      <alignment vertical="center"/>
    </xf>
    <xf numFmtId="0" fontId="0" fillId="4" borderId="0" xfId="0" applyFill="1">
      <alignment vertical="center"/>
    </xf>
    <xf numFmtId="0" fontId="0" fillId="4" borderId="0" xfId="0" applyFill="1" applyAlignment="1">
      <alignment horizontal="center" vertical="center"/>
    </xf>
    <xf numFmtId="0" fontId="19" fillId="4" borderId="2" xfId="0" applyFont="1" applyFill="1" applyBorder="1" applyAlignment="1">
      <alignment horizontal="center" vertical="center"/>
    </xf>
    <xf numFmtId="0" fontId="19" fillId="4" borderId="3" xfId="0" applyFont="1" applyFill="1" applyBorder="1" applyAlignment="1">
      <alignment horizontal="center" vertical="center"/>
    </xf>
    <xf numFmtId="0" fontId="17" fillId="4" borderId="4" xfId="0" applyFont="1" applyFill="1" applyBorder="1" applyAlignment="1">
      <alignment horizontal="center" vertical="center"/>
    </xf>
    <xf numFmtId="0" fontId="20" fillId="4" borderId="5" xfId="0" applyFont="1" applyFill="1" applyBorder="1">
      <alignment vertical="center"/>
    </xf>
    <xf numFmtId="0" fontId="17" fillId="4" borderId="5" xfId="0" applyFont="1" applyFill="1" applyBorder="1">
      <alignment vertical="center"/>
    </xf>
    <xf numFmtId="0" fontId="17" fillId="4" borderId="7" xfId="0" applyFont="1" applyFill="1" applyBorder="1" applyAlignment="1">
      <alignment horizontal="center" vertical="center"/>
    </xf>
    <xf numFmtId="14" fontId="17" fillId="4" borderId="0" xfId="0" applyNumberFormat="1" applyFont="1" applyFill="1" applyAlignment="1">
      <alignment horizontal="center" vertical="center"/>
    </xf>
    <xf numFmtId="0" fontId="20" fillId="4" borderId="0" xfId="0" applyFont="1" applyFill="1">
      <alignment vertical="center"/>
    </xf>
    <xf numFmtId="0" fontId="17" fillId="4" borderId="0" xfId="0" applyFont="1" applyFill="1" applyAlignment="1">
      <alignment horizontal="center" vertical="center"/>
    </xf>
    <xf numFmtId="0" fontId="17" fillId="4" borderId="0" xfId="0" applyFont="1" applyFill="1">
      <alignment vertical="center"/>
    </xf>
    <xf numFmtId="0" fontId="17" fillId="4" borderId="9" xfId="0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20" fillId="4" borderId="1" xfId="0" applyFont="1" applyFill="1" applyBorder="1">
      <alignment vertical="center"/>
    </xf>
    <xf numFmtId="0" fontId="17" fillId="4" borderId="1" xfId="0" applyFont="1" applyFill="1" applyBorder="1">
      <alignment vertical="center"/>
    </xf>
    <xf numFmtId="0" fontId="20" fillId="4" borderId="0" xfId="0" applyFont="1" applyFill="1" applyAlignment="1">
      <alignment horizontal="center" vertical="center"/>
    </xf>
    <xf numFmtId="177" fontId="17" fillId="4" borderId="5" xfId="0" applyNumberFormat="1" applyFont="1" applyFill="1" applyBorder="1" applyAlignment="1">
      <alignment horizontal="center" vertical="center"/>
    </xf>
    <xf numFmtId="10" fontId="20" fillId="4" borderId="1" xfId="11" applyNumberFormat="1" applyFont="1" applyFill="1" applyBorder="1">
      <alignment vertical="center"/>
    </xf>
    <xf numFmtId="0" fontId="17" fillId="4" borderId="5" xfId="0" applyFont="1" applyFill="1" applyBorder="1" applyAlignment="1">
      <alignment horizontal="left" vertical="center" wrapText="1"/>
    </xf>
    <xf numFmtId="0" fontId="0" fillId="4" borderId="7" xfId="0" applyFill="1" applyBorder="1" applyAlignment="1">
      <alignment horizontal="center" vertical="center"/>
    </xf>
    <xf numFmtId="0" fontId="17" fillId="4" borderId="0" xfId="0" applyFont="1" applyFill="1" applyAlignment="1">
      <alignment horizontal="left" vertical="center" wrapText="1"/>
    </xf>
    <xf numFmtId="0" fontId="0" fillId="4" borderId="9" xfId="0" applyFill="1" applyBorder="1" applyAlignment="1">
      <alignment horizontal="center" vertical="center"/>
    </xf>
    <xf numFmtId="0" fontId="17" fillId="4" borderId="1" xfId="0" applyFont="1" applyFill="1" applyBorder="1" applyAlignment="1">
      <alignment horizontal="left" vertical="center" wrapText="1"/>
    </xf>
    <xf numFmtId="0" fontId="19" fillId="4" borderId="11" xfId="0" applyFont="1" applyFill="1" applyBorder="1" applyAlignment="1">
      <alignment horizontal="center" vertical="center"/>
    </xf>
    <xf numFmtId="0" fontId="20" fillId="4" borderId="6" xfId="0" applyFont="1" applyFill="1" applyBorder="1">
      <alignment vertical="center"/>
    </xf>
    <xf numFmtId="0" fontId="20" fillId="4" borderId="8" xfId="0" applyFont="1" applyFill="1" applyBorder="1">
      <alignment vertical="center"/>
    </xf>
    <xf numFmtId="0" fontId="20" fillId="4" borderId="10" xfId="0" applyFont="1" applyFill="1" applyBorder="1">
      <alignment vertical="center"/>
    </xf>
    <xf numFmtId="0" fontId="17" fillId="4" borderId="6" xfId="0" applyFont="1" applyFill="1" applyBorder="1" applyAlignment="1">
      <alignment horizontal="left" vertical="center" wrapText="1"/>
    </xf>
    <xf numFmtId="0" fontId="17" fillId="4" borderId="8" xfId="0" applyFont="1" applyFill="1" applyBorder="1" applyAlignment="1">
      <alignment horizontal="left" vertical="center" wrapText="1"/>
    </xf>
    <xf numFmtId="0" fontId="17" fillId="4" borderId="1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7" Type="http://schemas.openxmlformats.org/officeDocument/2006/relationships/sharedStrings" Target="sharedStrings.xml"/><Relationship Id="rId16" Type="http://schemas.openxmlformats.org/officeDocument/2006/relationships/styles" Target="styles.xml"/><Relationship Id="rId15" Type="http://schemas.openxmlformats.org/officeDocument/2006/relationships/theme" Target="theme/theme1.xml"/><Relationship Id="rId14" Type="http://schemas.openxmlformats.org/officeDocument/2006/relationships/externalLink" Target="externalLinks/externalLink2.xml"/><Relationship Id="rId13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4" Type="http://schemas.openxmlformats.org/officeDocument/2006/relationships/image" Target="../media/image15.png"/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234315</xdr:colOff>
      <xdr:row>1</xdr:row>
      <xdr:rowOff>142875</xdr:rowOff>
    </xdr:from>
    <xdr:to>
      <xdr:col>17</xdr:col>
      <xdr:colOff>95250</xdr:colOff>
      <xdr:row>22</xdr:row>
      <xdr:rowOff>104775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063865" y="314325"/>
          <a:ext cx="4661535" cy="357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333375</xdr:colOff>
      <xdr:row>2</xdr:row>
      <xdr:rowOff>104775</xdr:rowOff>
    </xdr:from>
    <xdr:to>
      <xdr:col>10</xdr:col>
      <xdr:colOff>200660</xdr:colOff>
      <xdr:row>22</xdr:row>
      <xdr:rowOff>111125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2676525" y="457200"/>
          <a:ext cx="5353685" cy="34353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371475</xdr:colOff>
      <xdr:row>23</xdr:row>
      <xdr:rowOff>95250</xdr:rowOff>
    </xdr:from>
    <xdr:to>
      <xdr:col>9</xdr:col>
      <xdr:colOff>519430</xdr:colOff>
      <xdr:row>43</xdr:row>
      <xdr:rowOff>19050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14625" y="4048125"/>
          <a:ext cx="4948555" cy="33528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572135</xdr:colOff>
      <xdr:row>23</xdr:row>
      <xdr:rowOff>28575</xdr:rowOff>
    </xdr:from>
    <xdr:to>
      <xdr:col>17</xdr:col>
      <xdr:colOff>104775</xdr:colOff>
      <xdr:row>43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715885" y="3981450"/>
          <a:ext cx="5019040" cy="3438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43</xdr:row>
      <xdr:rowOff>133350</xdr:rowOff>
    </xdr:from>
    <xdr:to>
      <xdr:col>9</xdr:col>
      <xdr:colOff>469900</xdr:colOff>
      <xdr:row>65</xdr:row>
      <xdr:rowOff>76200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2628900" y="7515225"/>
          <a:ext cx="4984750" cy="37147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9</xdr:col>
      <xdr:colOff>619125</xdr:colOff>
      <xdr:row>43</xdr:row>
      <xdr:rowOff>104775</xdr:rowOff>
    </xdr:from>
    <xdr:to>
      <xdr:col>16</xdr:col>
      <xdr:colOff>554355</xdr:colOff>
      <xdr:row>64</xdr:row>
      <xdr:rowOff>76200</xdr:rowOff>
    </xdr:to>
    <xdr:pic>
      <xdr:nvPicPr>
        <xdr:cNvPr id="7" name="图片 6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762875" y="7486650"/>
          <a:ext cx="4735830" cy="3571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285750</xdr:colOff>
      <xdr:row>66</xdr:row>
      <xdr:rowOff>76200</xdr:rowOff>
    </xdr:from>
    <xdr:to>
      <xdr:col>11</xdr:col>
      <xdr:colOff>114300</xdr:colOff>
      <xdr:row>91</xdr:row>
      <xdr:rowOff>9525</xdr:rowOff>
    </xdr:to>
    <xdr:pic>
      <xdr:nvPicPr>
        <xdr:cNvPr id="8" name="图片 7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2628900" y="11401425"/>
          <a:ext cx="6000750" cy="42195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76200</xdr:colOff>
      <xdr:row>66</xdr:row>
      <xdr:rowOff>133350</xdr:rowOff>
    </xdr:from>
    <xdr:to>
      <xdr:col>18</xdr:col>
      <xdr:colOff>276225</xdr:colOff>
      <xdr:row>87</xdr:row>
      <xdr:rowOff>142875</xdr:rowOff>
    </xdr:to>
    <xdr:pic>
      <xdr:nvPicPr>
        <xdr:cNvPr id="9" name="图片 8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591550" y="11458575"/>
          <a:ext cx="5000625" cy="36099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219075</xdr:colOff>
      <xdr:row>2</xdr:row>
      <xdr:rowOff>0</xdr:rowOff>
    </xdr:from>
    <xdr:to>
      <xdr:col>25</xdr:col>
      <xdr:colOff>266700</xdr:colOff>
      <xdr:row>20</xdr:row>
      <xdr:rowOff>57150</xdr:rowOff>
    </xdr:to>
    <xdr:pic>
      <xdr:nvPicPr>
        <xdr:cNvPr id="10" name="图片 9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849225" y="352425"/>
          <a:ext cx="5534025" cy="3143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295275</xdr:colOff>
      <xdr:row>21</xdr:row>
      <xdr:rowOff>38100</xdr:rowOff>
    </xdr:from>
    <xdr:to>
      <xdr:col>36</xdr:col>
      <xdr:colOff>581025</xdr:colOff>
      <xdr:row>50</xdr:row>
      <xdr:rowOff>57150</xdr:rowOff>
    </xdr:to>
    <xdr:pic>
      <xdr:nvPicPr>
        <xdr:cNvPr id="11" name="图片 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2925425" y="3648075"/>
          <a:ext cx="13315950" cy="499110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18</xdr:col>
      <xdr:colOff>504825</xdr:colOff>
      <xdr:row>52</xdr:row>
      <xdr:rowOff>28575</xdr:rowOff>
    </xdr:from>
    <xdr:to>
      <xdr:col>28</xdr:col>
      <xdr:colOff>38100</xdr:colOff>
      <xdr:row>74</xdr:row>
      <xdr:rowOff>95250</xdr:rowOff>
    </xdr:to>
    <xdr:pic>
      <xdr:nvPicPr>
        <xdr:cNvPr id="12" name="图片 1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3820775" y="8953500"/>
          <a:ext cx="6391275" cy="3838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114300</xdr:colOff>
      <xdr:row>0</xdr:row>
      <xdr:rowOff>635</xdr:rowOff>
    </xdr:from>
    <xdr:to>
      <xdr:col>10</xdr:col>
      <xdr:colOff>590550</xdr:colOff>
      <xdr:row>23</xdr:row>
      <xdr:rowOff>114935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4300" y="635"/>
          <a:ext cx="7334250" cy="40576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685165</xdr:colOff>
      <xdr:row>0</xdr:row>
      <xdr:rowOff>635</xdr:rowOff>
    </xdr:from>
    <xdr:to>
      <xdr:col>21</xdr:col>
      <xdr:colOff>609600</xdr:colOff>
      <xdr:row>16</xdr:row>
      <xdr:rowOff>140970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543165" y="635"/>
          <a:ext cx="7468235" cy="28835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11</xdr:col>
      <xdr:colOff>533400</xdr:colOff>
      <xdr:row>18</xdr:row>
      <xdr:rowOff>66675</xdr:rowOff>
    </xdr:from>
    <xdr:to>
      <xdr:col>19</xdr:col>
      <xdr:colOff>676275</xdr:colOff>
      <xdr:row>71</xdr:row>
      <xdr:rowOff>142875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077200" y="3152775"/>
          <a:ext cx="5629275" cy="916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4</xdr:col>
      <xdr:colOff>104775</xdr:colOff>
      <xdr:row>22</xdr:row>
      <xdr:rowOff>104775</xdr:rowOff>
    </xdr:from>
    <xdr:to>
      <xdr:col>10</xdr:col>
      <xdr:colOff>676275</xdr:colOff>
      <xdr:row>41</xdr:row>
      <xdr:rowOff>38100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47975" y="3876675"/>
          <a:ext cx="4686300" cy="31908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0</xdr:colOff>
      <xdr:row>13</xdr:row>
      <xdr:rowOff>161925</xdr:rowOff>
    </xdr:from>
    <xdr:to>
      <xdr:col>26</xdr:col>
      <xdr:colOff>666750</xdr:colOff>
      <xdr:row>35</xdr:row>
      <xdr:rowOff>19050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411075" y="2514600"/>
          <a:ext cx="8896350" cy="38385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6032;&#28010;&#36130;&#36947;H\&#20844;&#21496;\&#28207;&#32929;\&#38134;&#22825;&#19979;\&#30005;&#21147;&#20844;&#21496;&#36130;&#21153;&#39044;&#27979;&#19982;&#20272;&#20540;&#27169;&#22411;-&#31572;&#2669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&#25237;&#36164;\&#30693;&#35782;&#20184;&#36153;&#20107;&#19994;&#37096;\&#20184;&#36153;&#39033;&#30446;\&#20010;&#32929;&#30740;&#31350;\&#31185;&#22823;&#35759;&#39134;\&#31185;&#22823;&#35759;&#39134;&#36130;&#21153;&#20272;&#20540;&#27169;&#22411;2019920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over"/>
      <sheetName val="Contents"/>
      <sheetName val="Revenues"/>
      <sheetName val="PP&amp;E"/>
      <sheetName val="Financing"/>
      <sheetName val="Cals"/>
      <sheetName val="IS"/>
      <sheetName val="BS"/>
      <sheetName val="CFS"/>
      <sheetName val="Ratios"/>
      <sheetName val="DCF"/>
      <sheetName val="Comps"/>
      <sheetName val="1.1核心业务模型-安全边际"/>
      <sheetName val="1.核心业务模型-乐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封面"/>
      <sheetName val="DCF估值结果"/>
      <sheetName val="经营业绩"/>
      <sheetName val="利润表预测"/>
      <sheetName val="利润表费率假设"/>
      <sheetName val="开放及消费者服务"/>
      <sheetName val="智慧城市"/>
      <sheetName val="智慧教育"/>
      <sheetName val="智慧政法"/>
      <sheetName val="智慧医疗"/>
      <sheetName val="智能汽车智能服务"/>
      <sheetName val="资产负债表假设"/>
      <sheetName val="基础资产负债表"/>
      <sheetName val="现金流量表"/>
      <sheetName val="资产负债表预测"/>
      <sheetName val="IS"/>
      <sheetName val="BS"/>
      <sheetName val="CS"/>
      <sheetName val="DCF估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0">
          <cell r="C20" t="str">
            <v>适用折现率：</v>
          </cell>
        </row>
        <row r="21">
          <cell r="C21" t="str">
            <v>永续增长率g</v>
          </cell>
        </row>
        <row r="22">
          <cell r="C22" t="str">
            <v>税后债务成本率</v>
          </cell>
        </row>
        <row r="23">
          <cell r="C23" t="str">
            <v>股权成本率</v>
          </cell>
        </row>
        <row r="24">
          <cell r="C24" t="str">
            <v>无风险报酬率</v>
          </cell>
        </row>
        <row r="25">
          <cell r="C25" t="str">
            <v>风险补偿率</v>
          </cell>
        </row>
        <row r="26">
          <cell r="C26" t="str">
            <v>贝塔系数</v>
          </cell>
        </row>
        <row r="27">
          <cell r="C27" t="str">
            <v>目标资本结构</v>
          </cell>
        </row>
      </sheetData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2"/>
  <sheetViews>
    <sheetView tabSelected="1" workbookViewId="0">
      <selection activeCell="D7" sqref="D7"/>
    </sheetView>
  </sheetViews>
  <sheetFormatPr defaultColWidth="9" defaultRowHeight="13.5"/>
  <cols>
    <col min="3" max="3" width="28.5" style="1" customWidth="1"/>
    <col min="4" max="4" width="30.125" customWidth="1"/>
    <col min="5" max="5" width="18.25" customWidth="1"/>
    <col min="6" max="6" width="13.75" customWidth="1"/>
    <col min="7" max="7" width="12.875" customWidth="1"/>
    <col min="8" max="8" width="13.75"/>
  </cols>
  <sheetData>
    <row r="1" ht="20" customHeight="1" spans="1:17">
      <c r="A1" s="126"/>
      <c r="B1" s="126"/>
      <c r="C1" s="127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</row>
    <row r="2" ht="20" customHeight="1" spans="1:17">
      <c r="A2" s="126"/>
      <c r="B2" s="126"/>
      <c r="C2" s="127"/>
      <c r="D2" s="126"/>
      <c r="E2" s="126"/>
      <c r="F2" s="126"/>
      <c r="G2" s="126"/>
      <c r="H2" s="126"/>
      <c r="I2" s="126"/>
      <c r="J2" s="126"/>
      <c r="K2" s="126"/>
      <c r="L2" s="126"/>
      <c r="M2" s="126"/>
      <c r="N2" s="126"/>
      <c r="O2" s="126"/>
      <c r="P2" s="126"/>
      <c r="Q2" s="126"/>
    </row>
    <row r="3" ht="28" customHeight="1" spans="1:17">
      <c r="A3" s="126"/>
      <c r="B3" s="126"/>
      <c r="C3" s="128" t="s">
        <v>0</v>
      </c>
      <c r="D3" s="129"/>
      <c r="E3" s="129"/>
      <c r="F3" s="129"/>
      <c r="G3" s="129"/>
      <c r="H3" s="129"/>
      <c r="I3" s="129"/>
      <c r="J3" s="150"/>
      <c r="K3" s="126"/>
      <c r="L3" s="126"/>
      <c r="M3" s="126"/>
      <c r="N3" s="126"/>
      <c r="O3" s="126"/>
      <c r="P3" s="126"/>
      <c r="Q3" s="126"/>
    </row>
    <row r="4" ht="20" customHeight="1" spans="1:17">
      <c r="A4" s="126"/>
      <c r="B4" s="126"/>
      <c r="C4" s="127"/>
      <c r="D4" s="126"/>
      <c r="E4" s="126"/>
      <c r="F4" s="126"/>
      <c r="G4" s="126"/>
      <c r="H4" s="126"/>
      <c r="I4" s="126"/>
      <c r="J4" s="126"/>
      <c r="K4" s="126"/>
      <c r="L4" s="126"/>
      <c r="M4" s="126"/>
      <c r="N4" s="126"/>
      <c r="O4" s="126"/>
      <c r="P4" s="126"/>
      <c r="Q4" s="126"/>
    </row>
    <row r="5" ht="20" customHeight="1" spans="1:17">
      <c r="A5" s="126"/>
      <c r="B5" s="126"/>
      <c r="C5" s="130" t="s">
        <v>1</v>
      </c>
      <c r="D5" s="111" t="s">
        <v>2</v>
      </c>
      <c r="E5" s="131"/>
      <c r="F5" s="111" t="s">
        <v>3</v>
      </c>
      <c r="G5" s="132" t="s">
        <v>4</v>
      </c>
      <c r="H5" s="131"/>
      <c r="I5" s="131"/>
      <c r="J5" s="151"/>
      <c r="K5" s="126"/>
      <c r="L5" s="126"/>
      <c r="M5" s="126"/>
      <c r="N5" s="126"/>
      <c r="O5" s="126"/>
      <c r="P5" s="126"/>
      <c r="Q5" s="126"/>
    </row>
    <row r="6" ht="20" customHeight="1" spans="1:17">
      <c r="A6" s="126"/>
      <c r="B6" s="126"/>
      <c r="C6" s="133" t="s">
        <v>5</v>
      </c>
      <c r="D6" s="134">
        <v>43829</v>
      </c>
      <c r="E6" s="135"/>
      <c r="F6" s="136" t="s">
        <v>6</v>
      </c>
      <c r="G6" s="137">
        <v>300740</v>
      </c>
      <c r="H6" s="135"/>
      <c r="I6" s="135"/>
      <c r="J6" s="152"/>
      <c r="K6" s="126"/>
      <c r="L6" s="126"/>
      <c r="M6" s="126"/>
      <c r="N6" s="126"/>
      <c r="O6" s="126"/>
      <c r="P6" s="126"/>
      <c r="Q6" s="126"/>
    </row>
    <row r="7" ht="20" customHeight="1" spans="1:17">
      <c r="A7" s="126"/>
      <c r="B7" s="126"/>
      <c r="C7" s="138" t="s">
        <v>7</v>
      </c>
      <c r="D7" s="139" t="s">
        <v>8</v>
      </c>
      <c r="E7" s="140"/>
      <c r="F7" s="139" t="s">
        <v>9</v>
      </c>
      <c r="G7" s="141" t="s">
        <v>10</v>
      </c>
      <c r="H7" s="140"/>
      <c r="I7" s="140"/>
      <c r="J7" s="153"/>
      <c r="K7" s="126"/>
      <c r="L7" s="126"/>
      <c r="M7" s="126"/>
      <c r="N7" s="126"/>
      <c r="O7" s="126"/>
      <c r="P7" s="126"/>
      <c r="Q7" s="126"/>
    </row>
    <row r="8" ht="20" customHeight="1" spans="1:17">
      <c r="A8" s="126"/>
      <c r="B8" s="126"/>
      <c r="C8" s="142"/>
      <c r="D8" s="135"/>
      <c r="E8" s="135"/>
      <c r="F8" s="135"/>
      <c r="G8" s="135"/>
      <c r="H8" s="135"/>
      <c r="I8" s="135"/>
      <c r="J8" s="135"/>
      <c r="K8" s="126"/>
      <c r="L8" s="126"/>
      <c r="M8" s="126"/>
      <c r="N8" s="126"/>
      <c r="O8" s="126"/>
      <c r="P8" s="126"/>
      <c r="Q8" s="126"/>
    </row>
    <row r="9" ht="20" customHeight="1" spans="1:17">
      <c r="A9" s="126"/>
      <c r="B9" s="126"/>
      <c r="C9" s="142"/>
      <c r="D9" s="135"/>
      <c r="E9" s="135"/>
      <c r="F9" s="135"/>
      <c r="G9" s="135"/>
      <c r="H9" s="135"/>
      <c r="I9" s="135"/>
      <c r="J9" s="135"/>
      <c r="K9" s="126"/>
      <c r="L9" s="126"/>
      <c r="M9" s="126"/>
      <c r="N9" s="126"/>
      <c r="O9" s="126"/>
      <c r="P9" s="126"/>
      <c r="Q9" s="126"/>
    </row>
    <row r="10" ht="20" customHeight="1" spans="1:17">
      <c r="A10" s="126"/>
      <c r="B10" s="126"/>
      <c r="C10" s="130" t="s">
        <v>11</v>
      </c>
      <c r="D10" s="143">
        <f>'DCF估值结果 '!C17</f>
        <v>9.06565546322461</v>
      </c>
      <c r="E10" s="131" t="s">
        <v>12</v>
      </c>
      <c r="F10" s="131">
        <v>9.55</v>
      </c>
      <c r="G10" s="131"/>
      <c r="H10" s="131"/>
      <c r="I10" s="131"/>
      <c r="J10" s="151"/>
      <c r="K10" s="126"/>
      <c r="L10" s="126"/>
      <c r="M10" s="126"/>
      <c r="N10" s="126"/>
      <c r="O10" s="126"/>
      <c r="P10" s="126"/>
      <c r="Q10" s="126"/>
    </row>
    <row r="11" ht="20" customHeight="1" spans="1:17">
      <c r="A11" s="126"/>
      <c r="B11" s="126"/>
      <c r="C11" s="138" t="s">
        <v>13</v>
      </c>
      <c r="D11" s="122">
        <f>'DCF估值结果 '!C15</f>
        <v>37.2598439538531</v>
      </c>
      <c r="E11" s="140" t="s">
        <v>14</v>
      </c>
      <c r="F11" s="144">
        <f>D10/F10-1</f>
        <v>-0.0507167054215072</v>
      </c>
      <c r="G11" s="140"/>
      <c r="H11" s="140"/>
      <c r="I11" s="140"/>
      <c r="J11" s="153"/>
      <c r="K11" s="126"/>
      <c r="L11" s="126"/>
      <c r="M11" s="126"/>
      <c r="N11" s="126"/>
      <c r="O11" s="126"/>
      <c r="P11" s="126"/>
      <c r="Q11" s="126"/>
    </row>
    <row r="12" ht="20" customHeight="1" spans="1:17">
      <c r="A12" s="126"/>
      <c r="B12" s="126"/>
      <c r="C12" s="142"/>
      <c r="D12" s="135"/>
      <c r="E12" s="135"/>
      <c r="F12" s="135"/>
      <c r="G12" s="135"/>
      <c r="H12" s="135"/>
      <c r="I12" s="135"/>
      <c r="J12" s="135"/>
      <c r="K12" s="126"/>
      <c r="L12" s="126"/>
      <c r="M12" s="126"/>
      <c r="N12" s="126"/>
      <c r="O12" s="126"/>
      <c r="P12" s="126"/>
      <c r="Q12" s="126"/>
    </row>
    <row r="13" ht="20" customHeight="1" spans="1:17">
      <c r="A13" s="126"/>
      <c r="B13" s="126"/>
      <c r="C13" s="130" t="s">
        <v>15</v>
      </c>
      <c r="D13" s="132" t="s">
        <v>16</v>
      </c>
      <c r="E13" s="131"/>
      <c r="F13" s="131"/>
      <c r="G13" s="131"/>
      <c r="H13" s="131"/>
      <c r="I13" s="131"/>
      <c r="J13" s="151"/>
      <c r="K13" s="126"/>
      <c r="L13" s="126"/>
      <c r="M13" s="126"/>
      <c r="N13" s="126"/>
      <c r="O13" s="126"/>
      <c r="P13" s="126"/>
      <c r="Q13" s="126"/>
    </row>
    <row r="14" ht="20" customHeight="1" spans="1:17">
      <c r="A14" s="126"/>
      <c r="B14" s="126"/>
      <c r="C14" s="138" t="s">
        <v>17</v>
      </c>
      <c r="D14" s="141" t="s">
        <v>18</v>
      </c>
      <c r="E14" s="141"/>
      <c r="F14" s="141"/>
      <c r="G14" s="140"/>
      <c r="H14" s="140"/>
      <c r="I14" s="140"/>
      <c r="J14" s="153"/>
      <c r="K14" s="126"/>
      <c r="L14" s="126"/>
      <c r="M14" s="126"/>
      <c r="N14" s="126"/>
      <c r="O14" s="126"/>
      <c r="P14" s="126"/>
      <c r="Q14" s="126"/>
    </row>
    <row r="15" ht="20" customHeight="1" spans="1:17">
      <c r="A15" s="126"/>
      <c r="B15" s="126"/>
      <c r="C15" s="127"/>
      <c r="D15" s="126"/>
      <c r="E15" s="126"/>
      <c r="F15" s="126"/>
      <c r="G15" s="126"/>
      <c r="H15" s="126"/>
      <c r="I15" s="126"/>
      <c r="J15" s="126"/>
      <c r="K15" s="126"/>
      <c r="L15" s="126"/>
      <c r="M15" s="126"/>
      <c r="N15" s="126"/>
      <c r="O15" s="126"/>
      <c r="P15" s="126"/>
      <c r="Q15" s="126"/>
    </row>
    <row r="16" ht="20" customHeight="1" spans="1:17">
      <c r="A16" s="126"/>
      <c r="B16" s="126"/>
      <c r="C16" s="127"/>
      <c r="D16" s="126"/>
      <c r="E16" s="126"/>
      <c r="F16" s="126"/>
      <c r="G16" s="126"/>
      <c r="H16" s="126"/>
      <c r="I16" s="126"/>
      <c r="J16" s="126"/>
      <c r="K16" s="126"/>
      <c r="L16" s="126"/>
      <c r="M16" s="126"/>
      <c r="N16" s="126"/>
      <c r="O16" s="126"/>
      <c r="P16" s="126"/>
      <c r="Q16" s="126"/>
    </row>
    <row r="17" ht="20" customHeight="1" spans="1:17">
      <c r="A17" s="126"/>
      <c r="B17" s="126"/>
      <c r="C17" s="130" t="s">
        <v>19</v>
      </c>
      <c r="D17" s="145" t="s">
        <v>20</v>
      </c>
      <c r="E17" s="145"/>
      <c r="F17" s="145"/>
      <c r="G17" s="145"/>
      <c r="H17" s="145"/>
      <c r="I17" s="145"/>
      <c r="J17" s="154"/>
      <c r="K17" s="126"/>
      <c r="L17" s="126"/>
      <c r="M17" s="126"/>
      <c r="N17" s="126"/>
      <c r="O17" s="126"/>
      <c r="P17" s="126"/>
      <c r="Q17" s="126"/>
    </row>
    <row r="18" ht="20" customHeight="1" spans="1:17">
      <c r="A18" s="126"/>
      <c r="B18" s="126"/>
      <c r="C18" s="146"/>
      <c r="D18" s="147"/>
      <c r="E18" s="147"/>
      <c r="F18" s="147"/>
      <c r="G18" s="147"/>
      <c r="H18" s="147"/>
      <c r="I18" s="147"/>
      <c r="J18" s="155"/>
      <c r="K18" s="126"/>
      <c r="L18" s="126"/>
      <c r="M18" s="126"/>
      <c r="N18" s="126"/>
      <c r="O18" s="126"/>
      <c r="P18" s="126"/>
      <c r="Q18" s="126"/>
    </row>
    <row r="19" ht="20" customHeight="1" spans="1:17">
      <c r="A19" s="126"/>
      <c r="B19" s="126"/>
      <c r="C19" s="146"/>
      <c r="D19" s="147"/>
      <c r="E19" s="147"/>
      <c r="F19" s="147"/>
      <c r="G19" s="147"/>
      <c r="H19" s="147"/>
      <c r="I19" s="147"/>
      <c r="J19" s="155"/>
      <c r="K19" s="126"/>
      <c r="L19" s="126"/>
      <c r="M19" s="126"/>
      <c r="N19" s="126"/>
      <c r="O19" s="126"/>
      <c r="P19" s="126"/>
      <c r="Q19" s="126"/>
    </row>
    <row r="20" ht="20" customHeight="1" spans="1:17">
      <c r="A20" s="126"/>
      <c r="B20" s="126"/>
      <c r="C20" s="146"/>
      <c r="D20" s="147"/>
      <c r="E20" s="147"/>
      <c r="F20" s="147"/>
      <c r="G20" s="147"/>
      <c r="H20" s="147"/>
      <c r="I20" s="147"/>
      <c r="J20" s="155"/>
      <c r="K20" s="126"/>
      <c r="L20" s="126"/>
      <c r="M20" s="126"/>
      <c r="N20" s="126"/>
      <c r="O20" s="126"/>
      <c r="P20" s="126"/>
      <c r="Q20" s="126"/>
    </row>
    <row r="21" ht="20" customHeight="1" spans="1:17">
      <c r="A21" s="126"/>
      <c r="B21" s="126"/>
      <c r="C21" s="146"/>
      <c r="D21" s="147"/>
      <c r="E21" s="147"/>
      <c r="F21" s="147"/>
      <c r="G21" s="147"/>
      <c r="H21" s="147"/>
      <c r="I21" s="147"/>
      <c r="J21" s="155"/>
      <c r="K21" s="126"/>
      <c r="L21" s="126"/>
      <c r="M21" s="126"/>
      <c r="N21" s="126"/>
      <c r="O21" s="126"/>
      <c r="P21" s="126"/>
      <c r="Q21" s="126"/>
    </row>
    <row r="22" ht="20" customHeight="1" spans="1:17">
      <c r="A22" s="126"/>
      <c r="B22" s="126"/>
      <c r="C22" s="148"/>
      <c r="D22" s="149"/>
      <c r="E22" s="149"/>
      <c r="F22" s="149"/>
      <c r="G22" s="149"/>
      <c r="H22" s="149"/>
      <c r="I22" s="149"/>
      <c r="J22" s="156"/>
      <c r="K22" s="126"/>
      <c r="L22" s="126"/>
      <c r="M22" s="126"/>
      <c r="N22" s="126"/>
      <c r="O22" s="126"/>
      <c r="P22" s="126"/>
      <c r="Q22" s="126"/>
    </row>
    <row r="23" ht="20" customHeight="1" spans="1:17">
      <c r="A23" s="126"/>
      <c r="B23" s="126"/>
      <c r="C23" s="127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</row>
    <row r="24" ht="20" customHeight="1" spans="1:17">
      <c r="A24" s="126"/>
      <c r="B24" s="126"/>
      <c r="C24" s="127"/>
      <c r="D24" s="126"/>
      <c r="E24" s="126"/>
      <c r="F24" s="126"/>
      <c r="G24" s="126"/>
      <c r="H24" s="126"/>
      <c r="I24" s="126"/>
      <c r="J24" s="126"/>
      <c r="K24" s="126"/>
      <c r="L24" s="126"/>
      <c r="M24" s="126"/>
      <c r="N24" s="126"/>
      <c r="O24" s="126"/>
      <c r="P24" s="126"/>
      <c r="Q24" s="126"/>
    </row>
    <row r="25" ht="20" customHeight="1" spans="1:17">
      <c r="A25" s="126"/>
      <c r="B25" s="126"/>
      <c r="C25" s="127"/>
      <c r="D25" s="126"/>
      <c r="E25" s="126"/>
      <c r="F25" s="126"/>
      <c r="G25" s="126"/>
      <c r="H25" s="126"/>
      <c r="I25" s="126"/>
      <c r="J25" s="126"/>
      <c r="K25" s="126"/>
      <c r="L25" s="126"/>
      <c r="M25" s="126"/>
      <c r="N25" s="126"/>
      <c r="O25" s="126"/>
      <c r="P25" s="126"/>
      <c r="Q25" s="126"/>
    </row>
    <row r="26" ht="20" customHeight="1" spans="1:17">
      <c r="A26" s="126"/>
      <c r="B26" s="126"/>
      <c r="C26" s="127"/>
      <c r="D26" s="126"/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</row>
    <row r="27" ht="20" customHeight="1" spans="1:17">
      <c r="A27" s="126"/>
      <c r="B27" s="126"/>
      <c r="C27" s="127"/>
      <c r="D27" s="126"/>
      <c r="E27" s="126"/>
      <c r="F27" s="126"/>
      <c r="G27" s="126"/>
      <c r="H27" s="126"/>
      <c r="I27" s="126"/>
      <c r="J27" s="126"/>
      <c r="K27" s="126"/>
      <c r="L27" s="126"/>
      <c r="M27" s="126"/>
      <c r="N27" s="126"/>
      <c r="O27" s="126"/>
      <c r="P27" s="126"/>
      <c r="Q27" s="126"/>
    </row>
    <row r="28" ht="20" customHeight="1" spans="1:17">
      <c r="A28" s="126"/>
      <c r="B28" s="126"/>
      <c r="C28" s="127"/>
      <c r="D28" s="126"/>
      <c r="E28" s="126"/>
      <c r="F28" s="126"/>
      <c r="G28" s="126"/>
      <c r="H28" s="126"/>
      <c r="I28" s="126"/>
      <c r="J28" s="126"/>
      <c r="K28" s="126"/>
      <c r="L28" s="126"/>
      <c r="M28" s="126"/>
      <c r="N28" s="126"/>
      <c r="O28" s="126"/>
      <c r="P28" s="126"/>
      <c r="Q28" s="126"/>
    </row>
    <row r="29" spans="3:3">
      <c r="C29"/>
    </row>
    <row r="30" spans="3:3">
      <c r="C30"/>
    </row>
    <row r="31" spans="3:3">
      <c r="C31"/>
    </row>
    <row r="32" spans="3:3">
      <c r="C32"/>
    </row>
    <row r="33" spans="3:3">
      <c r="C33"/>
    </row>
    <row r="34" spans="3:3">
      <c r="C34"/>
    </row>
    <row r="35" spans="3:3">
      <c r="C35"/>
    </row>
    <row r="36" spans="3:3">
      <c r="C36"/>
    </row>
    <row r="37" spans="3:3">
      <c r="C37"/>
    </row>
    <row r="38" spans="3:3">
      <c r="C38"/>
    </row>
    <row r="39" spans="3:3">
      <c r="C39"/>
    </row>
    <row r="40" spans="3:3">
      <c r="C40"/>
    </row>
    <row r="41" spans="3:3">
      <c r="C41"/>
    </row>
    <row r="42" spans="3:3">
      <c r="C42"/>
    </row>
    <row r="43" spans="3:3">
      <c r="C43"/>
    </row>
    <row r="44" spans="3:3">
      <c r="C44"/>
    </row>
    <row r="45" spans="3:3">
      <c r="C45"/>
    </row>
    <row r="46" spans="3:3">
      <c r="C46"/>
    </row>
    <row r="47" spans="3:3">
      <c r="C47"/>
    </row>
    <row r="48" spans="3:3">
      <c r="C48"/>
    </row>
    <row r="49" spans="3:3">
      <c r="C49"/>
    </row>
    <row r="50" spans="3:3">
      <c r="C50"/>
    </row>
    <row r="51" spans="3:3">
      <c r="C51"/>
    </row>
    <row r="52" spans="3:3">
      <c r="C52"/>
    </row>
    <row r="53" spans="3:3">
      <c r="C53"/>
    </row>
    <row r="54" spans="3:3">
      <c r="C54"/>
    </row>
    <row r="55" spans="3:3">
      <c r="C55"/>
    </row>
    <row r="56" spans="3:3">
      <c r="C56"/>
    </row>
    <row r="57" spans="3:3">
      <c r="C57"/>
    </row>
    <row r="58" spans="3:3">
      <c r="C58"/>
    </row>
    <row r="59" spans="3:3">
      <c r="C59"/>
    </row>
    <row r="60" spans="3:3">
      <c r="C60"/>
    </row>
    <row r="61" spans="3:3">
      <c r="C61"/>
    </row>
    <row r="62" spans="3:3">
      <c r="C62"/>
    </row>
  </sheetData>
  <mergeCells count="3">
    <mergeCell ref="C3:J3"/>
    <mergeCell ref="A29:XFD62"/>
    <mergeCell ref="D17:J22"/>
  </mergeCells>
  <pageMargins left="0.7" right="0.7" top="0.75" bottom="0.75" header="0.3" footer="0.3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R76"/>
  <sheetViews>
    <sheetView showGridLines="0" workbookViewId="0">
      <pane xSplit="6" ySplit="3" topLeftCell="G4" activePane="bottomRight" state="frozen"/>
      <selection/>
      <selection pane="topRight"/>
      <selection pane="bottomLeft"/>
      <selection pane="bottomRight" activeCell="K52" sqref="K52"/>
    </sheetView>
  </sheetViews>
  <sheetFormatPr defaultColWidth="9" defaultRowHeight="14.25"/>
  <cols>
    <col min="1" max="1" width="27.375" style="48" customWidth="1"/>
    <col min="2" max="2" width="13" style="33"/>
    <col min="3" max="6" width="15.1416666666667" style="33"/>
    <col min="7" max="13" width="15.1416666666667" style="32"/>
    <col min="14" max="16" width="15.1416666666667" style="49"/>
    <col min="17" max="18" width="13" style="49"/>
  </cols>
  <sheetData>
    <row r="3" spans="1:18">
      <c r="A3" s="50"/>
      <c r="B3" s="6">
        <v>2014</v>
      </c>
      <c r="C3" s="6">
        <v>2015</v>
      </c>
      <c r="D3" s="6">
        <v>2016</v>
      </c>
      <c r="E3" s="6">
        <v>2017</v>
      </c>
      <c r="F3" s="6">
        <v>2018</v>
      </c>
      <c r="G3" s="51">
        <v>2019</v>
      </c>
      <c r="H3" s="51">
        <v>2020</v>
      </c>
      <c r="I3" s="51">
        <v>2021</v>
      </c>
      <c r="J3" s="51">
        <v>2022</v>
      </c>
      <c r="K3" s="51">
        <v>2023</v>
      </c>
      <c r="L3" s="51">
        <v>2024</v>
      </c>
      <c r="M3" s="51">
        <v>2025</v>
      </c>
      <c r="N3"/>
      <c r="O3"/>
      <c r="P3"/>
      <c r="Q3" t="s">
        <v>192</v>
      </c>
      <c r="R3" t="s">
        <v>193</v>
      </c>
    </row>
    <row r="4" spans="1:18">
      <c r="A4" s="52" t="s">
        <v>194</v>
      </c>
      <c r="B4" s="53">
        <v>0.6</v>
      </c>
      <c r="C4" s="53">
        <v>1</v>
      </c>
      <c r="D4" s="53">
        <v>1.66</v>
      </c>
      <c r="E4" s="53">
        <v>2.62</v>
      </c>
      <c r="F4" s="53">
        <v>4.63</v>
      </c>
      <c r="G4" s="38">
        <f>CS!H39</f>
        <v>3.59895486063541</v>
      </c>
      <c r="H4" s="38">
        <f>CS!I39</f>
        <v>3.99648440044081</v>
      </c>
      <c r="I4" s="38">
        <f>CS!J39</f>
        <v>2.12713603569951</v>
      </c>
      <c r="J4" s="38">
        <f>CS!K39</f>
        <v>0.0994062827882889</v>
      </c>
      <c r="K4" s="38">
        <f>CS!L39</f>
        <v>0.269192777856724</v>
      </c>
      <c r="L4" s="38">
        <f>CS!M39</f>
        <v>0.637535033075639</v>
      </c>
      <c r="M4" s="38">
        <f>CS!N39</f>
        <v>4.1074988985535</v>
      </c>
      <c r="N4" s="58"/>
      <c r="O4" s="58"/>
      <c r="P4" s="58"/>
      <c r="Q4" s="58">
        <v>2.47</v>
      </c>
      <c r="R4" s="58">
        <v>1.98</v>
      </c>
    </row>
    <row r="5" spans="1:18">
      <c r="A5" s="52" t="s">
        <v>195</v>
      </c>
      <c r="R5" s="58">
        <v>1.29</v>
      </c>
    </row>
    <row r="6" spans="1:18">
      <c r="A6" s="52" t="s">
        <v>196</v>
      </c>
      <c r="B6" s="53">
        <v>0.46</v>
      </c>
      <c r="C6" s="53">
        <v>0.45</v>
      </c>
      <c r="D6" s="53">
        <v>0.61</v>
      </c>
      <c r="E6" s="53">
        <v>0.95</v>
      </c>
      <c r="F6" s="53">
        <v>1</v>
      </c>
      <c r="G6" s="38">
        <f>IS!H4/资产负债表假设!J5</f>
        <v>1.27426666666667</v>
      </c>
      <c r="H6" s="38">
        <f>IS!I4/资产负债表假设!K5</f>
        <v>1.37258967567568</v>
      </c>
      <c r="I6" s="38">
        <f>IS!J4/资产负债表假设!L5</f>
        <v>1.67008376</v>
      </c>
      <c r="J6" s="38">
        <f>IS!K4/资产负债表假设!M5</f>
        <v>2.08893776144865</v>
      </c>
      <c r="K6" s="38">
        <f>IS!L4/资产负债表假设!N5</f>
        <v>2.50386177654716</v>
      </c>
      <c r="L6" s="38">
        <f>IS!M4/资产负债表假设!O5</f>
        <v>2.98549149746709</v>
      </c>
      <c r="M6" s="38">
        <f>IS!N4/资产负债表假设!P5</f>
        <v>3.44639308201485</v>
      </c>
      <c r="N6" s="58"/>
      <c r="O6" s="58"/>
      <c r="P6" s="58"/>
      <c r="Q6" s="58">
        <v>1.41</v>
      </c>
      <c r="R6" s="58">
        <v>1.6</v>
      </c>
    </row>
    <row r="7" spans="1:18">
      <c r="A7" s="52" t="s">
        <v>197</v>
      </c>
      <c r="B7" s="53">
        <v>0.09</v>
      </c>
      <c r="C7" s="53">
        <v>0.12</v>
      </c>
      <c r="D7" s="53">
        <v>0.32</v>
      </c>
      <c r="E7" s="53">
        <v>0.43</v>
      </c>
      <c r="F7" s="53">
        <v>0.53</v>
      </c>
      <c r="G7" s="38">
        <f>IS!H4/资产负债表假设!J6</f>
        <v>0.509706666666667</v>
      </c>
      <c r="H7" s="38">
        <f>IS!I4/资产负债表假设!K6</f>
        <v>0.564286866666667</v>
      </c>
      <c r="I7" s="38">
        <f>IS!J4/资产负债表假设!L6</f>
        <v>0.705146476444444</v>
      </c>
      <c r="J7" s="38">
        <f>IS!K4/资产负债表假设!M6</f>
        <v>0.858785524151111</v>
      </c>
      <c r="K7" s="38">
        <f>IS!L4/资产负债表假设!N6</f>
        <v>1.05718608343102</v>
      </c>
      <c r="L7" s="38">
        <f>IS!M4/资产负债表假设!O6</f>
        <v>1.32688510998537</v>
      </c>
      <c r="M7" s="38">
        <f>IS!N4/资产负债表假设!P6</f>
        <v>1.60831677160693</v>
      </c>
      <c r="N7" s="58"/>
      <c r="O7" s="58"/>
      <c r="P7" s="58"/>
      <c r="Q7" s="58">
        <v>0.68</v>
      </c>
      <c r="R7" s="58">
        <v>1.02</v>
      </c>
    </row>
    <row r="8" spans="1:18">
      <c r="A8" s="52" t="s">
        <v>198</v>
      </c>
      <c r="B8" s="53">
        <v>0.05</v>
      </c>
      <c r="C8" s="53">
        <v>0.08</v>
      </c>
      <c r="D8" s="53">
        <v>0.06</v>
      </c>
      <c r="E8" s="53">
        <v>0.06</v>
      </c>
      <c r="F8" s="53">
        <v>0.24</v>
      </c>
      <c r="G8" s="38">
        <f>IS!H4/资产负债表假设!J7</f>
        <v>0.104258181818182</v>
      </c>
      <c r="H8" s="38">
        <f>IS!I4/资产负债表假设!K7</f>
        <v>0.126964545</v>
      </c>
      <c r="I8" s="38">
        <f>IS!J4/资产负债表假设!L7</f>
        <v>0.192312675393939</v>
      </c>
      <c r="J8" s="38">
        <f>IS!K4/资产负债表假设!M7</f>
        <v>0.234214233859394</v>
      </c>
      <c r="K8" s="38">
        <f>IS!L4/资产负债表假设!N7</f>
        <v>0.28832347729937</v>
      </c>
      <c r="L8" s="38">
        <f>IS!M4/资产负债表假设!O7</f>
        <v>0.361877757268739</v>
      </c>
      <c r="M8" s="38">
        <f>IS!N4/资产负债表假设!P7</f>
        <v>0.43863184680189</v>
      </c>
      <c r="N8" s="58"/>
      <c r="O8" s="58"/>
      <c r="P8" s="58"/>
      <c r="Q8" s="58">
        <v>0.32</v>
      </c>
      <c r="R8" s="58">
        <v>0.4</v>
      </c>
    </row>
    <row r="9" spans="1:18">
      <c r="A9" s="52" t="s">
        <v>199</v>
      </c>
      <c r="F9" s="53">
        <v>0.03</v>
      </c>
      <c r="G9" s="38"/>
      <c r="H9" s="38"/>
      <c r="I9" s="38"/>
      <c r="J9" s="38"/>
      <c r="K9" s="38"/>
      <c r="L9" s="38"/>
      <c r="M9" s="38"/>
      <c r="N9" s="58"/>
      <c r="O9" s="58"/>
      <c r="P9" s="58"/>
      <c r="R9" s="58">
        <v>0.02</v>
      </c>
    </row>
    <row r="10" spans="1:16">
      <c r="A10" s="52" t="s">
        <v>200</v>
      </c>
      <c r="B10" s="53">
        <v>0.05</v>
      </c>
      <c r="C10" s="53">
        <v>0.08</v>
      </c>
      <c r="D10" s="53">
        <v>0.06</v>
      </c>
      <c r="E10" s="53">
        <v>0.06</v>
      </c>
      <c r="F10" s="53">
        <v>0.21</v>
      </c>
      <c r="G10" s="38"/>
      <c r="H10" s="38"/>
      <c r="I10" s="38"/>
      <c r="J10" s="38"/>
      <c r="K10" s="38"/>
      <c r="L10" s="38"/>
      <c r="M10" s="38"/>
      <c r="N10" s="58"/>
      <c r="O10" s="58"/>
      <c r="P10" s="58"/>
    </row>
    <row r="11" spans="1:18">
      <c r="A11" s="52" t="s">
        <v>201</v>
      </c>
      <c r="B11" s="53">
        <v>0.75</v>
      </c>
      <c r="C11" s="53">
        <v>2.47</v>
      </c>
      <c r="D11" s="53">
        <v>3.14</v>
      </c>
      <c r="E11" s="53">
        <v>2.77</v>
      </c>
      <c r="F11" s="53">
        <v>5.66</v>
      </c>
      <c r="G11" s="38">
        <f>IS!H4/资产负债表假设!J8</f>
        <v>5.09706666666667</v>
      </c>
      <c r="H11" s="38">
        <f>IS!I4/资产负债表假设!K8</f>
        <v>5.64286866666667</v>
      </c>
      <c r="I11" s="38">
        <f>IS!J4/资产负债表假设!L8</f>
        <v>7.05146476444444</v>
      </c>
      <c r="J11" s="38">
        <f>IS!K4/资产负债表假设!M8</f>
        <v>8.58785524151111</v>
      </c>
      <c r="K11" s="38">
        <f>IS!L4/资产负债表假设!N8</f>
        <v>10.5718608343102</v>
      </c>
      <c r="L11" s="38">
        <f>IS!M4/资产负债表假设!O8</f>
        <v>13.2688510998537</v>
      </c>
      <c r="M11" s="38">
        <f>IS!N4/资产负债表假设!P8</f>
        <v>16.0831677160693</v>
      </c>
      <c r="N11" s="58"/>
      <c r="O11" s="58"/>
      <c r="P11" s="58"/>
      <c r="Q11" s="58">
        <v>7.2</v>
      </c>
      <c r="R11" s="58">
        <v>7.41</v>
      </c>
    </row>
    <row r="12" spans="1:18">
      <c r="A12" s="52" t="s">
        <v>202</v>
      </c>
      <c r="B12" s="53">
        <v>0.01</v>
      </c>
      <c r="C12" s="53">
        <v>0.05</v>
      </c>
      <c r="D12" s="53">
        <v>0.29</v>
      </c>
      <c r="E12" s="53">
        <v>0.36</v>
      </c>
      <c r="F12" s="53">
        <v>4.81</v>
      </c>
      <c r="G12" s="38">
        <f>IS!H4/资产负债表假设!J9</f>
        <v>4.09585714285714</v>
      </c>
      <c r="H12" s="38">
        <f>IS!I4/资产负债表假设!K9</f>
        <v>4.53444803571429</v>
      </c>
      <c r="I12" s="38">
        <f>IS!J4/资产负债表假设!L9</f>
        <v>5.66635561428571</v>
      </c>
      <c r="J12" s="38">
        <f>IS!K4/资产负债表假设!M9</f>
        <v>6.90095510478571</v>
      </c>
      <c r="K12" s="38">
        <f>IS!L4/资产负债表假设!N9</f>
        <v>8.495245313285</v>
      </c>
      <c r="L12" s="38">
        <f>IS!M4/资产负债表假设!O9</f>
        <v>10.662469633811</v>
      </c>
      <c r="M12" s="38">
        <f>IS!N4/资产负债表假设!P9</f>
        <v>12.9239740575557</v>
      </c>
      <c r="N12" s="58"/>
      <c r="O12" s="58"/>
      <c r="P12" s="58"/>
      <c r="Q12" s="58">
        <v>7.18</v>
      </c>
      <c r="R12" s="58">
        <v>2.68</v>
      </c>
    </row>
    <row r="13" spans="1:18">
      <c r="A13" s="3" t="s">
        <v>203</v>
      </c>
      <c r="B13" s="54">
        <v>1.95</v>
      </c>
      <c r="C13" s="54">
        <v>4.17</v>
      </c>
      <c r="D13" s="54">
        <v>6.07</v>
      </c>
      <c r="E13" s="54">
        <v>7.18</v>
      </c>
      <c r="F13" s="54">
        <v>16.87</v>
      </c>
      <c r="G13" s="38">
        <f>SUM(G4:G12)</f>
        <v>14.6801101853107</v>
      </c>
      <c r="H13" s="38">
        <f t="shared" ref="H13:M13" si="0">SUM(H4:H12)</f>
        <v>16.2376421901641</v>
      </c>
      <c r="I13" s="38">
        <f t="shared" si="0"/>
        <v>17.412499326268</v>
      </c>
      <c r="J13" s="38">
        <f t="shared" si="0"/>
        <v>18.7701541485443</v>
      </c>
      <c r="K13" s="38">
        <f t="shared" si="0"/>
        <v>23.1856702627295</v>
      </c>
      <c r="L13" s="38">
        <f t="shared" si="0"/>
        <v>29.2431101314616</v>
      </c>
      <c r="M13" s="38">
        <f t="shared" si="0"/>
        <v>38.6079823726021</v>
      </c>
      <c r="N13" s="58"/>
      <c r="O13" s="58"/>
      <c r="P13" s="58"/>
      <c r="Q13" s="58">
        <v>19.26</v>
      </c>
      <c r="R13" s="58">
        <v>16.39</v>
      </c>
    </row>
    <row r="14" spans="1:13">
      <c r="A14" s="52" t="s">
        <v>204</v>
      </c>
      <c r="G14" s="1">
        <f>资本开支!G27</f>
        <v>1.29</v>
      </c>
      <c r="H14" s="1">
        <f>资本开支!H27</f>
        <v>1.29</v>
      </c>
      <c r="I14" s="1">
        <f>资本开支!I27</f>
        <v>1.29</v>
      </c>
      <c r="J14" s="1">
        <f>资本开支!J27</f>
        <v>1.29</v>
      </c>
      <c r="K14" s="1">
        <f>资本开支!K27</f>
        <v>1.31</v>
      </c>
      <c r="L14" s="1">
        <f>资本开支!L27</f>
        <v>1.61</v>
      </c>
      <c r="M14" s="1">
        <f>资本开支!M27</f>
        <v>1.81</v>
      </c>
    </row>
    <row r="15" spans="1:1">
      <c r="A15" s="52" t="s">
        <v>205</v>
      </c>
    </row>
    <row r="16" spans="1:18">
      <c r="A16" s="52" t="s">
        <v>206</v>
      </c>
      <c r="B16" s="53">
        <v>0.06</v>
      </c>
      <c r="C16" s="53">
        <v>0.46</v>
      </c>
      <c r="D16" s="53">
        <v>0.52</v>
      </c>
      <c r="E16" s="53">
        <v>1.05</v>
      </c>
      <c r="F16" s="53">
        <v>1.15</v>
      </c>
      <c r="G16" s="38">
        <f>资本开支!G14</f>
        <v>1.07616</v>
      </c>
      <c r="H16" s="38">
        <f>资本开支!H14</f>
        <v>3.26145792</v>
      </c>
      <c r="I16" s="38">
        <f>资本开支!I14</f>
        <v>5.25444962304</v>
      </c>
      <c r="J16" s="38">
        <f>资本开支!J14</f>
        <v>8.44005805621248</v>
      </c>
      <c r="K16" s="38">
        <f>资本开支!K14</f>
        <v>10.8893329472658</v>
      </c>
      <c r="L16" s="38">
        <f>资本开支!L14</f>
        <v>11.7550716479064</v>
      </c>
      <c r="M16" s="38">
        <f>资本开支!M14</f>
        <v>12.5446253428906</v>
      </c>
      <c r="N16" s="58"/>
      <c r="O16" s="58"/>
      <c r="P16" s="58"/>
      <c r="Q16" s="58">
        <v>1.13</v>
      </c>
      <c r="R16" s="58">
        <v>1.09</v>
      </c>
    </row>
    <row r="17" spans="1:18">
      <c r="A17" s="52" t="s">
        <v>207</v>
      </c>
      <c r="D17" s="53">
        <v>0</v>
      </c>
      <c r="R17" s="58">
        <v>0.03</v>
      </c>
    </row>
    <row r="18" spans="1:18">
      <c r="A18" s="52" t="s">
        <v>208</v>
      </c>
      <c r="B18" s="53">
        <v>0</v>
      </c>
      <c r="C18" s="53">
        <v>0.05</v>
      </c>
      <c r="D18" s="53">
        <v>0.06</v>
      </c>
      <c r="E18" s="53">
        <v>0.06</v>
      </c>
      <c r="F18" s="53">
        <v>0.08</v>
      </c>
      <c r="G18" s="38">
        <f>资本开支!G21</f>
        <v>0.615</v>
      </c>
      <c r="H18" s="38">
        <f>资本开支!H21</f>
        <v>1.21125</v>
      </c>
      <c r="I18" s="38">
        <f>资本开支!I21</f>
        <v>2.0334375</v>
      </c>
      <c r="J18" s="38">
        <f>资本开支!J21</f>
        <v>1.525078125</v>
      </c>
      <c r="K18" s="38">
        <f>资本开支!K21</f>
        <v>1.14380859375</v>
      </c>
      <c r="L18" s="38">
        <f>资本开支!L21</f>
        <v>0.8578564453125</v>
      </c>
      <c r="M18" s="38">
        <f>资本开支!M21</f>
        <v>0.643392333984375</v>
      </c>
      <c r="N18" s="58"/>
      <c r="O18" s="58"/>
      <c r="P18" s="58"/>
      <c r="Q18" s="58">
        <v>0.09</v>
      </c>
      <c r="R18" s="58">
        <v>0.74</v>
      </c>
    </row>
    <row r="19" spans="1:18">
      <c r="A19" s="52" t="s">
        <v>209</v>
      </c>
      <c r="B19" s="53">
        <v>0.03</v>
      </c>
      <c r="C19" s="53">
        <v>0.18</v>
      </c>
      <c r="D19" s="53">
        <v>0.14</v>
      </c>
      <c r="E19" s="53">
        <v>0.12</v>
      </c>
      <c r="F19" s="53">
        <v>0.13</v>
      </c>
      <c r="G19" s="38">
        <f>IS!H4/资产负债表假设!J13</f>
        <v>0.134922352941176</v>
      </c>
      <c r="H19" s="38">
        <f>IS!I4/资产负债表假设!K13</f>
        <v>0.149370052941176</v>
      </c>
      <c r="I19" s="38">
        <f>IS!J4/资产负债表假设!L13</f>
        <v>0.186656420235294</v>
      </c>
      <c r="J19" s="38">
        <f>IS!K4/资产负债表假设!M13</f>
        <v>0.227325579922353</v>
      </c>
      <c r="K19" s="38">
        <f>IS!L4/资产负债表假设!N13</f>
        <v>0.279843375025859</v>
      </c>
      <c r="L19" s="38">
        <f>IS!M4/资产负债表假设!O13</f>
        <v>0.351234293819658</v>
      </c>
      <c r="M19" s="38">
        <f>IS!N4/资产负债表假设!P13</f>
        <v>0.425730910131246</v>
      </c>
      <c r="N19" s="58"/>
      <c r="O19" s="58"/>
      <c r="P19" s="58"/>
      <c r="Q19" s="58">
        <v>0.13</v>
      </c>
      <c r="R19" s="58">
        <v>0.13</v>
      </c>
    </row>
    <row r="20" spans="1:18">
      <c r="A20" s="52" t="s">
        <v>210</v>
      </c>
      <c r="B20" s="53">
        <v>0.03</v>
      </c>
      <c r="C20" s="53">
        <v>0.04</v>
      </c>
      <c r="D20" s="53">
        <v>0.15</v>
      </c>
      <c r="E20" s="53">
        <v>0.17</v>
      </c>
      <c r="F20" s="53">
        <v>0.11</v>
      </c>
      <c r="G20" s="38">
        <f>IS!H4/资产负债表假设!J14</f>
        <v>0.114684</v>
      </c>
      <c r="H20" s="38">
        <f>IS!I4/资产负债表假设!K14</f>
        <v>0.126964545</v>
      </c>
      <c r="I20" s="38">
        <f>IS!J4/资产负债表假设!L14</f>
        <v>0.1586579572</v>
      </c>
      <c r="J20" s="38">
        <f>IS!K4/资产负债表假设!M14</f>
        <v>0.193226742934</v>
      </c>
      <c r="K20" s="38">
        <f>IS!L4/资产负债表假设!N14</f>
        <v>0.23786686877198</v>
      </c>
      <c r="L20" s="38">
        <f>IS!M4/资产负债表假设!O14</f>
        <v>0.298549149746709</v>
      </c>
      <c r="M20" s="38">
        <f>IS!N4/资产负债表假设!P14</f>
        <v>0.361871273611559</v>
      </c>
      <c r="N20" s="58"/>
      <c r="O20" s="58"/>
      <c r="P20" s="58"/>
      <c r="Q20" s="58">
        <v>0.2</v>
      </c>
      <c r="R20" s="58">
        <v>0.33</v>
      </c>
    </row>
    <row r="21" spans="1:18">
      <c r="A21" s="3" t="s">
        <v>211</v>
      </c>
      <c r="B21" s="54">
        <v>0.12</v>
      </c>
      <c r="C21" s="54">
        <v>0.72</v>
      </c>
      <c r="D21" s="54">
        <v>0.87</v>
      </c>
      <c r="E21" s="54">
        <v>1.39</v>
      </c>
      <c r="F21" s="54">
        <v>2.16</v>
      </c>
      <c r="G21" s="38">
        <f>SUM(G14:G20)</f>
        <v>3.23076635294118</v>
      </c>
      <c r="H21" s="38">
        <f t="shared" ref="H21:M21" si="1">SUM(H14:H20)</f>
        <v>6.03904251794118</v>
      </c>
      <c r="I21" s="38">
        <f t="shared" si="1"/>
        <v>8.92320150047529</v>
      </c>
      <c r="J21" s="38">
        <f t="shared" si="1"/>
        <v>11.6756885040688</v>
      </c>
      <c r="K21" s="38">
        <f t="shared" si="1"/>
        <v>13.8608517848136</v>
      </c>
      <c r="L21" s="38">
        <f t="shared" si="1"/>
        <v>14.8727115367853</v>
      </c>
      <c r="M21" s="38">
        <f t="shared" si="1"/>
        <v>15.7856198606178</v>
      </c>
      <c r="N21" s="58"/>
      <c r="O21" s="58"/>
      <c r="P21" s="58"/>
      <c r="Q21" s="58">
        <v>1.54</v>
      </c>
      <c r="R21" s="58">
        <v>2.31</v>
      </c>
    </row>
    <row r="22" spans="1:18">
      <c r="A22" s="52" t="s">
        <v>212</v>
      </c>
      <c r="B22" s="53">
        <v>2.07</v>
      </c>
      <c r="C22" s="53">
        <v>4.89</v>
      </c>
      <c r="D22" s="53">
        <v>6.94</v>
      </c>
      <c r="E22" s="53">
        <v>8.57</v>
      </c>
      <c r="F22" s="53">
        <v>19.03</v>
      </c>
      <c r="G22" s="38">
        <f>G13+G21</f>
        <v>17.9108765382519</v>
      </c>
      <c r="H22" s="38">
        <f t="shared" ref="H22:M22" si="2">H13+H21</f>
        <v>22.2766847081053</v>
      </c>
      <c r="I22" s="38">
        <f t="shared" si="2"/>
        <v>26.3357008267433</v>
      </c>
      <c r="J22" s="38">
        <f t="shared" si="2"/>
        <v>30.4458426526131</v>
      </c>
      <c r="K22" s="38">
        <f t="shared" si="2"/>
        <v>37.0465220475431</v>
      </c>
      <c r="L22" s="38">
        <f t="shared" si="2"/>
        <v>44.1158216682469</v>
      </c>
      <c r="M22" s="38">
        <f t="shared" si="2"/>
        <v>54.3936022332199</v>
      </c>
      <c r="N22" s="58"/>
      <c r="O22" s="58"/>
      <c r="P22" s="58"/>
      <c r="Q22" s="58">
        <v>20.8</v>
      </c>
      <c r="R22" s="58">
        <v>18.7</v>
      </c>
    </row>
    <row r="23" spans="1:18">
      <c r="A23" s="52" t="s">
        <v>213</v>
      </c>
      <c r="B23" s="53">
        <v>0.06</v>
      </c>
      <c r="C23" s="53">
        <v>0.05</v>
      </c>
      <c r="D23" s="53">
        <v>0.4</v>
      </c>
      <c r="E23" s="53">
        <v>0.2</v>
      </c>
      <c r="F23" s="53">
        <v>0.41</v>
      </c>
      <c r="G23" s="38">
        <v>1.3</v>
      </c>
      <c r="H23" s="38">
        <v>1.5</v>
      </c>
      <c r="I23" s="38">
        <v>2.5</v>
      </c>
      <c r="J23" s="38">
        <v>2.5</v>
      </c>
      <c r="K23" s="38">
        <v>2</v>
      </c>
      <c r="L23" s="38">
        <v>1</v>
      </c>
      <c r="M23" s="38">
        <v>0.2</v>
      </c>
      <c r="N23" s="58"/>
      <c r="O23" s="58"/>
      <c r="P23" s="58"/>
      <c r="Q23" s="58">
        <v>0.28</v>
      </c>
      <c r="R23" s="58">
        <v>1.22</v>
      </c>
    </row>
    <row r="24" spans="1:18">
      <c r="A24" s="52" t="s">
        <v>214</v>
      </c>
      <c r="B24" s="53">
        <v>0.86</v>
      </c>
      <c r="C24" s="53">
        <v>2.11</v>
      </c>
      <c r="D24" s="53">
        <v>1.9</v>
      </c>
      <c r="E24" s="53">
        <v>1.35</v>
      </c>
      <c r="F24" s="53">
        <v>3.36</v>
      </c>
      <c r="G24" s="38">
        <f>IS!H4/资产负债表假设!J18</f>
        <v>3.42340298507463</v>
      </c>
      <c r="H24" s="38">
        <f>IS!I4/资产负债表假设!K18</f>
        <v>3.78998641791045</v>
      </c>
      <c r="I24" s="38">
        <f>IS!J4/资产负债表假设!L18</f>
        <v>4.7360584238806</v>
      </c>
      <c r="J24" s="38">
        <f>IS!K4/资产负债表假设!M18</f>
        <v>5.76796247564179</v>
      </c>
      <c r="K24" s="38">
        <f>IS!L4/资产负债表假设!N18</f>
        <v>7.10050354543224</v>
      </c>
      <c r="L24" s="38">
        <f>IS!M4/资产负债表假设!O18</f>
        <v>8.91191491781222</v>
      </c>
      <c r="M24" s="38">
        <f>IS!N4/资产负债表假设!P18</f>
        <v>10.8021275704943</v>
      </c>
      <c r="N24" s="58"/>
      <c r="O24" s="58"/>
      <c r="P24" s="58"/>
      <c r="R24" s="58">
        <v>3.11</v>
      </c>
    </row>
    <row r="25" spans="1:18">
      <c r="A25" s="52" t="s">
        <v>215</v>
      </c>
      <c r="B25" s="53">
        <v>0</v>
      </c>
      <c r="C25" s="53">
        <v>0.15</v>
      </c>
      <c r="D25" s="53">
        <v>0.06</v>
      </c>
      <c r="E25" s="53">
        <v>0.16</v>
      </c>
      <c r="F25" s="53">
        <v>0.1</v>
      </c>
      <c r="G25" s="38">
        <f>IS!H4/资产负债表假设!J19</f>
        <v>0.19114</v>
      </c>
      <c r="H25" s="38">
        <f>IS!I4/资产负债表假设!K19</f>
        <v>0.211607575</v>
      </c>
      <c r="I25" s="38">
        <f>IS!J4/资产负债表假设!L19</f>
        <v>0.264429928666667</v>
      </c>
      <c r="J25" s="38">
        <f>IS!K4/资产负债表假设!M19</f>
        <v>0.322044571556667</v>
      </c>
      <c r="K25" s="38">
        <f>IS!L4/资产负债表假设!N19</f>
        <v>0.396444781286633</v>
      </c>
      <c r="L25" s="38">
        <f>IS!M4/资产负债表假设!O19</f>
        <v>0.497581916244516</v>
      </c>
      <c r="M25" s="38">
        <f>IS!N4/资产负债表假设!P19</f>
        <v>0.603118789352598</v>
      </c>
      <c r="N25" s="58"/>
      <c r="O25" s="58"/>
      <c r="P25" s="58"/>
      <c r="Q25" s="58">
        <v>0.07</v>
      </c>
      <c r="R25" s="58">
        <v>0.31</v>
      </c>
    </row>
    <row r="26" spans="1:18">
      <c r="A26" s="52" t="s">
        <v>216</v>
      </c>
      <c r="B26" s="53">
        <v>0.08</v>
      </c>
      <c r="C26" s="53">
        <v>0.14</v>
      </c>
      <c r="D26" s="53">
        <v>0.16</v>
      </c>
      <c r="E26" s="53">
        <v>0.33</v>
      </c>
      <c r="F26" s="53">
        <v>0.25</v>
      </c>
      <c r="G26" s="38">
        <f>IS!H4/资产负债表假设!J20</f>
        <v>0.28671</v>
      </c>
      <c r="H26" s="38">
        <f>IS!I4/资产负债表假设!K20</f>
        <v>0.362755842857143</v>
      </c>
      <c r="I26" s="38">
        <f>IS!J4/资产负债表假设!L20</f>
        <v>0.488178329846154</v>
      </c>
      <c r="J26" s="38">
        <f>IS!K4/资产负债表假设!M20</f>
        <v>0.594543824412308</v>
      </c>
      <c r="K26" s="38">
        <f>IS!L4/资产负债表假设!N20</f>
        <v>0.731898057759938</v>
      </c>
      <c r="L26" s="38">
        <f>IS!M4/资产负债表假设!O20</f>
        <v>0.918612768451413</v>
      </c>
      <c r="M26" s="38">
        <f>IS!N4/资产负债表假设!P20</f>
        <v>1.11345007265095</v>
      </c>
      <c r="N26" s="58"/>
      <c r="O26" s="58"/>
      <c r="P26" s="58"/>
      <c r="Q26" s="58">
        <v>0.33</v>
      </c>
      <c r="R26" s="58">
        <v>0.3</v>
      </c>
    </row>
    <row r="27" spans="1:18">
      <c r="A27" s="52" t="s">
        <v>217</v>
      </c>
      <c r="B27" s="53">
        <v>0.25</v>
      </c>
      <c r="C27" s="53">
        <v>0.12</v>
      </c>
      <c r="D27" s="53">
        <v>0.06</v>
      </c>
      <c r="E27" s="53">
        <v>0.17</v>
      </c>
      <c r="F27" s="53">
        <v>0.13</v>
      </c>
      <c r="G27" s="38">
        <f>IS!H4/资产负债表假设!J21</f>
        <v>0.143355</v>
      </c>
      <c r="H27" s="38">
        <f>IS!I4/资产负债表假设!K21</f>
        <v>0.15870568125</v>
      </c>
      <c r="I27" s="38">
        <f>IS!J4/资产负债表假设!L21</f>
        <v>0.1983224465</v>
      </c>
      <c r="J27" s="38">
        <f>IS!K4/资产负债表假设!M21</f>
        <v>0.2415334286675</v>
      </c>
      <c r="K27" s="38">
        <f>IS!L4/资产负债表假设!N21</f>
        <v>0.297333585964975</v>
      </c>
      <c r="L27" s="38">
        <f>IS!M4/资产负债表假设!O21</f>
        <v>0.373186437183387</v>
      </c>
      <c r="M27" s="38">
        <f>IS!N4/资产负债表假设!P21</f>
        <v>0.452339092014449</v>
      </c>
      <c r="N27" s="58"/>
      <c r="O27" s="58"/>
      <c r="P27" s="58"/>
      <c r="Q27" s="58">
        <v>0.12</v>
      </c>
      <c r="R27" s="58">
        <v>0.26</v>
      </c>
    </row>
    <row r="28" spans="1:18">
      <c r="A28" s="52" t="s">
        <v>218</v>
      </c>
      <c r="B28" s="53">
        <v>0.18</v>
      </c>
      <c r="C28" s="53">
        <v>0.3</v>
      </c>
      <c r="D28" s="53">
        <v>0.32</v>
      </c>
      <c r="E28" s="53">
        <v>0.46</v>
      </c>
      <c r="F28" s="53">
        <v>0.42</v>
      </c>
      <c r="G28" s="38">
        <f>IS!H4/资产负债表假设!J22</f>
        <v>0.424755555555555</v>
      </c>
      <c r="H28" s="38">
        <f>IS!I4/资产负债表假设!K22</f>
        <v>0.470239055555556</v>
      </c>
      <c r="I28" s="38">
        <f>IS!J4/资产负债表假设!L22</f>
        <v>0.587622063703704</v>
      </c>
      <c r="J28" s="38">
        <f>IS!K4/资产负债表假设!M22</f>
        <v>0.715654603459259</v>
      </c>
      <c r="K28" s="38">
        <f>IS!L4/资产负债表假设!N22</f>
        <v>0.880988402859185</v>
      </c>
      <c r="L28" s="38">
        <f>IS!M4/资产负债表假设!O22</f>
        <v>1.10573759165448</v>
      </c>
      <c r="M28" s="38">
        <f>IS!N4/资产负债表假设!P22</f>
        <v>1.34026397633911</v>
      </c>
      <c r="N28" s="58"/>
      <c r="O28" s="58"/>
      <c r="P28" s="58"/>
      <c r="Q28" s="58">
        <v>0.43</v>
      </c>
      <c r="R28" s="58">
        <v>0.52</v>
      </c>
    </row>
    <row r="29" spans="1:18">
      <c r="A29" s="52" t="s">
        <v>219</v>
      </c>
      <c r="C29" s="53">
        <v>0.02</v>
      </c>
      <c r="D29" s="53">
        <v>0.03</v>
      </c>
      <c r="E29" s="53">
        <v>0.04</v>
      </c>
      <c r="F29" s="53">
        <v>0.04</v>
      </c>
      <c r="G29" s="38">
        <f>IS!H4/资产负债表假设!J23</f>
        <v>0.0458736</v>
      </c>
      <c r="H29" s="38">
        <f>IS!I4/资产负债表假设!K23</f>
        <v>0.050785818</v>
      </c>
      <c r="I29" s="38">
        <f>IS!J4/资产负债表假设!L23</f>
        <v>0.06346318288</v>
      </c>
      <c r="J29" s="38">
        <f>IS!K4/资产负债表假设!M23</f>
        <v>0.0772906971736</v>
      </c>
      <c r="K29" s="38">
        <f>IS!L4/资产负债表假设!N23</f>
        <v>0.095146747508792</v>
      </c>
      <c r="L29" s="38">
        <f>IS!M4/资产负债表假设!O23</f>
        <v>0.119419659898684</v>
      </c>
      <c r="M29" s="38">
        <f>IS!N4/资产负债表假设!P23</f>
        <v>0.144748509444624</v>
      </c>
      <c r="N29" s="58"/>
      <c r="O29" s="58"/>
      <c r="P29" s="58"/>
      <c r="Q29" s="58">
        <v>0.04</v>
      </c>
      <c r="R29" s="58">
        <v>0.05</v>
      </c>
    </row>
    <row r="30" spans="1:18">
      <c r="A30" s="3" t="s">
        <v>220</v>
      </c>
      <c r="B30" s="54">
        <v>1.43</v>
      </c>
      <c r="C30" s="54">
        <v>2.89</v>
      </c>
      <c r="D30" s="54">
        <v>2.92</v>
      </c>
      <c r="E30" s="54">
        <v>2.72</v>
      </c>
      <c r="F30" s="54">
        <v>4.71</v>
      </c>
      <c r="G30" s="38">
        <f>SUM(G23:G29)</f>
        <v>5.81523714063018</v>
      </c>
      <c r="H30" s="38">
        <f t="shared" ref="H30:M30" si="3">SUM(H23:H29)</f>
        <v>6.54408039057314</v>
      </c>
      <c r="I30" s="38">
        <f t="shared" si="3"/>
        <v>8.83807437547712</v>
      </c>
      <c r="J30" s="38">
        <f t="shared" si="3"/>
        <v>10.2190296009111</v>
      </c>
      <c r="K30" s="38">
        <f t="shared" si="3"/>
        <v>11.5023151208118</v>
      </c>
      <c r="L30" s="38">
        <f t="shared" si="3"/>
        <v>12.9264532912447</v>
      </c>
      <c r="M30" s="38">
        <f t="shared" si="3"/>
        <v>14.656048010296</v>
      </c>
      <c r="N30" s="58"/>
      <c r="O30" s="58"/>
      <c r="P30" s="58"/>
      <c r="Q30" s="58">
        <v>6.59</v>
      </c>
      <c r="R30" s="58">
        <v>6.39</v>
      </c>
    </row>
    <row r="31" spans="1:18">
      <c r="A31" s="52" t="s">
        <v>221</v>
      </c>
      <c r="C31" s="53">
        <v>0.21</v>
      </c>
      <c r="D31" s="53">
        <v>0.18</v>
      </c>
      <c r="E31" s="53">
        <v>0.33</v>
      </c>
      <c r="F31" s="53">
        <v>0.29</v>
      </c>
      <c r="G31" s="38">
        <v>0.3</v>
      </c>
      <c r="H31" s="38">
        <v>2</v>
      </c>
      <c r="I31" s="38">
        <v>3</v>
      </c>
      <c r="J31" s="38">
        <v>3.5</v>
      </c>
      <c r="K31" s="38">
        <v>2.8</v>
      </c>
      <c r="L31" s="38">
        <v>2</v>
      </c>
      <c r="M31" s="38">
        <v>1.5</v>
      </c>
      <c r="N31" s="58"/>
      <c r="O31" s="58"/>
      <c r="P31" s="58"/>
      <c r="Q31" s="58">
        <v>0.3</v>
      </c>
      <c r="R31" s="58">
        <v>0.25</v>
      </c>
    </row>
    <row r="32" spans="1:18">
      <c r="A32" s="52" t="s">
        <v>222</v>
      </c>
      <c r="B32" s="53">
        <v>0</v>
      </c>
      <c r="C32" s="53">
        <v>0</v>
      </c>
      <c r="D32" s="53">
        <v>0</v>
      </c>
      <c r="E32" s="53">
        <v>0.01</v>
      </c>
      <c r="F32" s="53">
        <v>0.03</v>
      </c>
      <c r="G32" s="38">
        <v>0</v>
      </c>
      <c r="H32" s="38">
        <v>0</v>
      </c>
      <c r="I32" s="38">
        <v>0</v>
      </c>
      <c r="J32" s="38">
        <v>0</v>
      </c>
      <c r="K32" s="38">
        <v>0</v>
      </c>
      <c r="L32" s="38">
        <v>0</v>
      </c>
      <c r="M32" s="38">
        <v>0</v>
      </c>
      <c r="N32" s="58"/>
      <c r="O32" s="58"/>
      <c r="P32" s="58"/>
      <c r="Q32" s="58">
        <v>0.01</v>
      </c>
      <c r="R32" s="58">
        <v>0.01</v>
      </c>
    </row>
    <row r="33" spans="1:18">
      <c r="A33" s="52" t="s">
        <v>223</v>
      </c>
      <c r="B33" s="53">
        <v>0.03</v>
      </c>
      <c r="C33" s="53">
        <v>0.04</v>
      </c>
      <c r="D33" s="53">
        <v>0.1</v>
      </c>
      <c r="E33" s="53">
        <v>0.12</v>
      </c>
      <c r="F33" s="53">
        <v>0.04</v>
      </c>
      <c r="G33" s="38">
        <v>0.04</v>
      </c>
      <c r="H33" s="38">
        <f t="shared" ref="H33:M33" si="4">G33</f>
        <v>0.04</v>
      </c>
      <c r="I33" s="38">
        <f t="shared" si="4"/>
        <v>0.04</v>
      </c>
      <c r="J33" s="38">
        <f t="shared" si="4"/>
        <v>0.04</v>
      </c>
      <c r="K33" s="38">
        <f t="shared" si="4"/>
        <v>0.04</v>
      </c>
      <c r="L33" s="38">
        <f t="shared" si="4"/>
        <v>0.04</v>
      </c>
      <c r="M33" s="38">
        <f t="shared" si="4"/>
        <v>0.04</v>
      </c>
      <c r="N33" s="58"/>
      <c r="O33" s="58"/>
      <c r="P33" s="58"/>
      <c r="Q33" s="58">
        <v>0.13</v>
      </c>
      <c r="R33" s="58">
        <v>0.03</v>
      </c>
    </row>
    <row r="34" spans="1:18">
      <c r="A34" s="52" t="s">
        <v>224</v>
      </c>
      <c r="B34" s="53">
        <v>0.03</v>
      </c>
      <c r="C34" s="53">
        <v>0.26</v>
      </c>
      <c r="D34" s="53">
        <v>0.29</v>
      </c>
      <c r="E34" s="53">
        <v>0.45</v>
      </c>
      <c r="F34" s="53">
        <v>0.36</v>
      </c>
      <c r="G34" s="38">
        <f>G31+G32+G33</f>
        <v>0.34</v>
      </c>
      <c r="H34" s="38">
        <f t="shared" ref="H34:M34" si="5">H31+H32+H33</f>
        <v>2.04</v>
      </c>
      <c r="I34" s="38">
        <f t="shared" si="5"/>
        <v>3.04</v>
      </c>
      <c r="J34" s="38">
        <f t="shared" si="5"/>
        <v>3.54</v>
      </c>
      <c r="K34" s="38">
        <f t="shared" si="5"/>
        <v>2.84</v>
      </c>
      <c r="L34" s="38">
        <f t="shared" si="5"/>
        <v>2.04</v>
      </c>
      <c r="M34" s="38">
        <f t="shared" si="5"/>
        <v>1.54</v>
      </c>
      <c r="N34" s="58"/>
      <c r="O34" s="58"/>
      <c r="P34" s="58"/>
      <c r="Q34" s="58">
        <v>0.44</v>
      </c>
      <c r="R34" s="58">
        <v>0.28</v>
      </c>
    </row>
    <row r="35" spans="1:18">
      <c r="A35" s="3" t="s">
        <v>225</v>
      </c>
      <c r="B35" s="54">
        <v>1.46</v>
      </c>
      <c r="C35" s="54">
        <v>3.14</v>
      </c>
      <c r="D35" s="54">
        <v>3.2</v>
      </c>
      <c r="E35" s="54">
        <v>3.17</v>
      </c>
      <c r="F35" s="54">
        <v>5.07</v>
      </c>
      <c r="G35" s="38">
        <f>G30+G34</f>
        <v>6.15523714063018</v>
      </c>
      <c r="H35" s="38">
        <f t="shared" ref="H35:M35" si="6">H30+H34</f>
        <v>8.58408039057315</v>
      </c>
      <c r="I35" s="38">
        <f t="shared" si="6"/>
        <v>11.8780743754771</v>
      </c>
      <c r="J35" s="38">
        <f t="shared" si="6"/>
        <v>13.7590296009111</v>
      </c>
      <c r="K35" s="38">
        <f t="shared" si="6"/>
        <v>14.3423151208118</v>
      </c>
      <c r="L35" s="38">
        <f t="shared" si="6"/>
        <v>14.9664532912447</v>
      </c>
      <c r="M35" s="38">
        <f t="shared" si="6"/>
        <v>16.196048010296</v>
      </c>
      <c r="N35" s="58"/>
      <c r="O35" s="58"/>
      <c r="P35" s="58"/>
      <c r="Q35" s="58">
        <v>7.03</v>
      </c>
      <c r="R35" s="58">
        <v>6.67</v>
      </c>
    </row>
    <row r="36" spans="1:1">
      <c r="A36" s="52" t="s">
        <v>226</v>
      </c>
    </row>
    <row r="37" spans="1:18">
      <c r="A37" s="52" t="s">
        <v>227</v>
      </c>
      <c r="B37" s="53">
        <v>0.22</v>
      </c>
      <c r="C37" s="53">
        <v>0.23</v>
      </c>
      <c r="D37" s="53">
        <v>1.2</v>
      </c>
      <c r="E37" s="53">
        <v>1.2</v>
      </c>
      <c r="F37" s="53">
        <v>2.72</v>
      </c>
      <c r="G37" s="38">
        <v>4.11</v>
      </c>
      <c r="H37" s="38">
        <f t="shared" ref="H37:M37" si="7">G37</f>
        <v>4.11</v>
      </c>
      <c r="I37" s="38">
        <f t="shared" si="7"/>
        <v>4.11</v>
      </c>
      <c r="J37" s="38">
        <f t="shared" si="7"/>
        <v>4.11</v>
      </c>
      <c r="K37" s="38">
        <f t="shared" si="7"/>
        <v>4.11</v>
      </c>
      <c r="L37" s="38">
        <f t="shared" si="7"/>
        <v>4.11</v>
      </c>
      <c r="M37" s="38">
        <f t="shared" si="7"/>
        <v>4.11</v>
      </c>
      <c r="N37" s="58"/>
      <c r="O37" s="58"/>
      <c r="P37" s="58"/>
      <c r="Q37" s="58">
        <v>2.72</v>
      </c>
      <c r="R37" s="58">
        <v>4.11</v>
      </c>
    </row>
    <row r="38" spans="1:18">
      <c r="A38" s="52" t="s">
        <v>228</v>
      </c>
      <c r="B38" s="53">
        <v>0.18</v>
      </c>
      <c r="C38" s="53">
        <v>0.75</v>
      </c>
      <c r="D38" s="53">
        <v>1.06</v>
      </c>
      <c r="E38" s="53">
        <v>1.19</v>
      </c>
      <c r="F38" s="53">
        <v>7.54</v>
      </c>
      <c r="G38" s="38"/>
      <c r="H38" s="38"/>
      <c r="I38" s="38"/>
      <c r="J38" s="38"/>
      <c r="K38" s="38"/>
      <c r="L38" s="38"/>
      <c r="M38" s="38"/>
      <c r="N38" s="58"/>
      <c r="O38" s="58"/>
      <c r="P38" s="58"/>
      <c r="Q38" s="58">
        <v>7.55</v>
      </c>
      <c r="R38" s="58">
        <v>6.35</v>
      </c>
    </row>
    <row r="39" spans="1:18">
      <c r="A39" s="52" t="s">
        <v>229</v>
      </c>
      <c r="C39" s="53">
        <v>0.01</v>
      </c>
      <c r="D39" s="53">
        <v>0.02</v>
      </c>
      <c r="E39" s="53">
        <v>0</v>
      </c>
      <c r="F39" s="53">
        <v>0.06</v>
      </c>
      <c r="G39" s="38"/>
      <c r="H39" s="38"/>
      <c r="I39" s="38"/>
      <c r="J39" s="38"/>
      <c r="K39" s="38"/>
      <c r="L39" s="38"/>
      <c r="M39" s="38"/>
      <c r="N39" s="58"/>
      <c r="O39" s="58"/>
      <c r="P39" s="58"/>
      <c r="Q39" s="58">
        <v>0.04</v>
      </c>
      <c r="R39" s="58">
        <v>0.12</v>
      </c>
    </row>
    <row r="40" spans="1:18">
      <c r="A40" s="52" t="s">
        <v>230</v>
      </c>
      <c r="D40" s="53">
        <v>0.02</v>
      </c>
      <c r="E40" s="53">
        <v>0.09</v>
      </c>
      <c r="F40" s="53">
        <v>0.15</v>
      </c>
      <c r="G40" s="38"/>
      <c r="H40" s="38"/>
      <c r="I40" s="38"/>
      <c r="J40" s="38"/>
      <c r="K40" s="38"/>
      <c r="L40" s="38"/>
      <c r="M40" s="38"/>
      <c r="N40" s="58"/>
      <c r="O40" s="58"/>
      <c r="P40" s="58"/>
      <c r="Q40" s="58">
        <v>0.09</v>
      </c>
      <c r="R40" s="58">
        <v>0.15</v>
      </c>
    </row>
    <row r="41" spans="1:18">
      <c r="A41" s="52" t="s">
        <v>231</v>
      </c>
      <c r="B41" s="53">
        <v>0.21</v>
      </c>
      <c r="C41" s="53">
        <v>0.74</v>
      </c>
      <c r="D41" s="53">
        <v>1.41</v>
      </c>
      <c r="E41" s="53">
        <v>2.93</v>
      </c>
      <c r="F41" s="53">
        <v>3.53</v>
      </c>
      <c r="G41" s="38"/>
      <c r="H41" s="38"/>
      <c r="I41" s="38"/>
      <c r="J41" s="38"/>
      <c r="K41" s="38"/>
      <c r="L41" s="38"/>
      <c r="M41" s="38"/>
      <c r="N41" s="58"/>
      <c r="O41" s="58"/>
      <c r="P41" s="58"/>
      <c r="Q41" s="58">
        <v>3.39</v>
      </c>
      <c r="R41" s="58">
        <v>3.61</v>
      </c>
    </row>
    <row r="42" spans="1:18">
      <c r="A42" s="52" t="s">
        <v>232</v>
      </c>
      <c r="B42" s="53">
        <v>0.61</v>
      </c>
      <c r="C42" s="53">
        <v>1.72</v>
      </c>
      <c r="D42" s="53">
        <v>3.71</v>
      </c>
      <c r="E42" s="53">
        <v>5.4</v>
      </c>
      <c r="F42" s="53">
        <v>14</v>
      </c>
      <c r="G42" s="38">
        <f>G44</f>
        <v>11.7556393976217</v>
      </c>
      <c r="H42" s="38">
        <f t="shared" ref="H42:M42" si="8">H44</f>
        <v>13.6926043175321</v>
      </c>
      <c r="I42" s="38">
        <f t="shared" si="8"/>
        <v>14.4576264512662</v>
      </c>
      <c r="J42" s="38">
        <f t="shared" si="8"/>
        <v>16.686813051702</v>
      </c>
      <c r="K42" s="38">
        <f t="shared" si="8"/>
        <v>22.7042069267314</v>
      </c>
      <c r="L42" s="38">
        <f t="shared" si="8"/>
        <v>29.1493683770022</v>
      </c>
      <c r="M42" s="38">
        <f t="shared" si="8"/>
        <v>38.1975542229239</v>
      </c>
      <c r="N42" s="58"/>
      <c r="O42" s="58"/>
      <c r="P42" s="58"/>
      <c r="Q42" s="58">
        <v>13.78</v>
      </c>
      <c r="R42" s="58">
        <v>12.06</v>
      </c>
    </row>
    <row r="43" spans="1:18">
      <c r="A43" s="52" t="s">
        <v>233</v>
      </c>
      <c r="C43" s="53">
        <v>0.02</v>
      </c>
      <c r="D43" s="53">
        <v>0.03</v>
      </c>
      <c r="E43" s="53">
        <v>0.01</v>
      </c>
      <c r="F43" s="53">
        <v>-0.04</v>
      </c>
      <c r="G43" s="38">
        <v>0</v>
      </c>
      <c r="H43" s="38">
        <v>0</v>
      </c>
      <c r="I43" s="38">
        <v>0</v>
      </c>
      <c r="J43" s="38">
        <v>0</v>
      </c>
      <c r="K43" s="38">
        <v>0</v>
      </c>
      <c r="L43" s="38">
        <v>0</v>
      </c>
      <c r="M43" s="38">
        <v>0</v>
      </c>
      <c r="N43" s="58"/>
      <c r="O43" s="58"/>
      <c r="P43" s="58"/>
      <c r="Q43" s="58">
        <v>-0.01</v>
      </c>
      <c r="R43" s="58">
        <v>-0.02</v>
      </c>
    </row>
    <row r="44" spans="1:18">
      <c r="A44" s="3" t="s">
        <v>234</v>
      </c>
      <c r="B44" s="54">
        <v>0.61</v>
      </c>
      <c r="C44" s="54">
        <v>1.74</v>
      </c>
      <c r="D44" s="54">
        <v>3.74</v>
      </c>
      <c r="E44" s="54">
        <v>5.41</v>
      </c>
      <c r="F44" s="54">
        <v>13.96</v>
      </c>
      <c r="G44" s="38">
        <f>G45-G35</f>
        <v>11.7556393976217</v>
      </c>
      <c r="H44" s="38">
        <f t="shared" ref="H44:M44" si="9">H45-H35</f>
        <v>13.6926043175321</v>
      </c>
      <c r="I44" s="38">
        <f t="shared" si="9"/>
        <v>14.4576264512662</v>
      </c>
      <c r="J44" s="38">
        <f t="shared" si="9"/>
        <v>16.686813051702</v>
      </c>
      <c r="K44" s="38">
        <f t="shared" si="9"/>
        <v>22.7042069267314</v>
      </c>
      <c r="L44" s="38">
        <f t="shared" si="9"/>
        <v>29.1493683770022</v>
      </c>
      <c r="M44" s="38">
        <f t="shared" si="9"/>
        <v>38.1975542229239</v>
      </c>
      <c r="N44" s="58"/>
      <c r="O44" s="58"/>
      <c r="P44" s="58"/>
      <c r="Q44" s="58">
        <v>13.78</v>
      </c>
      <c r="R44" s="58">
        <v>12.03</v>
      </c>
    </row>
    <row r="45" spans="1:18">
      <c r="A45" s="52" t="s">
        <v>235</v>
      </c>
      <c r="B45" s="53">
        <v>2.07</v>
      </c>
      <c r="C45" s="53">
        <v>4.89</v>
      </c>
      <c r="D45" s="53">
        <v>6.94</v>
      </c>
      <c r="E45" s="53">
        <v>8.57</v>
      </c>
      <c r="F45" s="53">
        <v>19.03</v>
      </c>
      <c r="G45" s="38">
        <f>G22</f>
        <v>17.9108765382519</v>
      </c>
      <c r="H45" s="38">
        <f t="shared" ref="H45:M45" si="10">H22</f>
        <v>22.2766847081053</v>
      </c>
      <c r="I45" s="38">
        <f t="shared" si="10"/>
        <v>26.3357008267433</v>
      </c>
      <c r="J45" s="38">
        <f t="shared" si="10"/>
        <v>30.4458426526131</v>
      </c>
      <c r="K45" s="38">
        <f t="shared" si="10"/>
        <v>37.0465220475431</v>
      </c>
      <c r="L45" s="38">
        <f t="shared" si="10"/>
        <v>44.1158216682469</v>
      </c>
      <c r="M45" s="38">
        <f t="shared" si="10"/>
        <v>54.3936022332199</v>
      </c>
      <c r="N45" s="58"/>
      <c r="O45" s="58"/>
      <c r="P45" s="58"/>
      <c r="Q45" s="58">
        <v>20.8</v>
      </c>
      <c r="R45" s="58">
        <v>18.7</v>
      </c>
    </row>
    <row r="46" spans="1:18">
      <c r="A46" s="52"/>
      <c r="B46" s="34"/>
      <c r="C46" s="34"/>
      <c r="D46" s="34"/>
      <c r="E46" s="34"/>
      <c r="F46" s="34"/>
      <c r="G46" s="45"/>
      <c r="H46" s="45"/>
      <c r="I46" s="45"/>
      <c r="J46" s="45"/>
      <c r="K46" s="45"/>
      <c r="L46" s="45"/>
      <c r="M46" s="45"/>
      <c r="N46"/>
      <c r="O46"/>
      <c r="P46"/>
      <c r="Q46"/>
      <c r="R46"/>
    </row>
    <row r="47" spans="1:18">
      <c r="A47" s="52"/>
      <c r="B47" s="34"/>
      <c r="C47" s="34"/>
      <c r="D47" s="34"/>
      <c r="E47" s="34"/>
      <c r="F47" s="34"/>
      <c r="G47" s="45"/>
      <c r="H47" s="45"/>
      <c r="I47" s="45"/>
      <c r="J47" s="45"/>
      <c r="K47" s="45"/>
      <c r="L47" s="45"/>
      <c r="M47" s="45"/>
      <c r="N47"/>
      <c r="O47"/>
      <c r="P47"/>
      <c r="Q47"/>
      <c r="R47"/>
    </row>
    <row r="48" spans="1:18">
      <c r="A48" s="52" t="s">
        <v>236</v>
      </c>
      <c r="B48" s="40">
        <f>B23+B29+B31</f>
        <v>0.06</v>
      </c>
      <c r="C48" s="40">
        <f t="shared" ref="C48:M48" si="11">C23+C29+C31</f>
        <v>0.28</v>
      </c>
      <c r="D48" s="40">
        <f t="shared" si="11"/>
        <v>0.61</v>
      </c>
      <c r="E48" s="40">
        <f t="shared" si="11"/>
        <v>0.57</v>
      </c>
      <c r="F48" s="40">
        <f t="shared" si="11"/>
        <v>0.74</v>
      </c>
      <c r="G48" s="40">
        <f t="shared" si="11"/>
        <v>1.6458736</v>
      </c>
      <c r="H48" s="40">
        <f t="shared" si="11"/>
        <v>3.550785818</v>
      </c>
      <c r="I48" s="40">
        <f t="shared" si="11"/>
        <v>5.56346318288</v>
      </c>
      <c r="J48" s="40">
        <f t="shared" si="11"/>
        <v>6.0772906971736</v>
      </c>
      <c r="K48" s="40">
        <f t="shared" si="11"/>
        <v>4.89514674750879</v>
      </c>
      <c r="L48" s="40">
        <f t="shared" si="11"/>
        <v>3.11941965989868</v>
      </c>
      <c r="M48" s="40">
        <f t="shared" si="11"/>
        <v>1.84474850944462</v>
      </c>
      <c r="N48"/>
      <c r="O48"/>
      <c r="P48"/>
      <c r="Q48"/>
      <c r="R48"/>
    </row>
    <row r="49" spans="1:18">
      <c r="A49" s="52" t="s">
        <v>237</v>
      </c>
      <c r="B49" s="34"/>
      <c r="C49" s="34"/>
      <c r="D49" s="34"/>
      <c r="E49" s="34"/>
      <c r="F49" s="34"/>
      <c r="G49" s="55">
        <v>0.07</v>
      </c>
      <c r="H49" s="56">
        <f t="shared" ref="H49:M49" si="12">G49</f>
        <v>0.07</v>
      </c>
      <c r="I49" s="56">
        <f t="shared" si="12"/>
        <v>0.07</v>
      </c>
      <c r="J49" s="56">
        <f t="shared" si="12"/>
        <v>0.07</v>
      </c>
      <c r="K49" s="56">
        <f t="shared" si="12"/>
        <v>0.07</v>
      </c>
      <c r="L49" s="56">
        <f t="shared" si="12"/>
        <v>0.07</v>
      </c>
      <c r="M49" s="56">
        <f t="shared" si="12"/>
        <v>0.07</v>
      </c>
      <c r="N49"/>
      <c r="O49"/>
      <c r="P49"/>
      <c r="Q49"/>
      <c r="R49"/>
    </row>
    <row r="50" spans="1:16">
      <c r="A50" s="52" t="s">
        <v>238</v>
      </c>
      <c r="C50" s="34"/>
      <c r="D50" s="34"/>
      <c r="E50" s="34"/>
      <c r="F50" s="34"/>
      <c r="G50" s="57">
        <f>G48*G49</f>
        <v>0.115211152</v>
      </c>
      <c r="H50" s="57">
        <f t="shared" ref="H50:M50" si="13">H48*H49</f>
        <v>0.24855500726</v>
      </c>
      <c r="I50" s="57">
        <f t="shared" si="13"/>
        <v>0.3894424228016</v>
      </c>
      <c r="J50" s="57">
        <f t="shared" si="13"/>
        <v>0.425410348802152</v>
      </c>
      <c r="K50" s="57">
        <f t="shared" si="13"/>
        <v>0.342660272325615</v>
      </c>
      <c r="L50" s="57">
        <f t="shared" si="13"/>
        <v>0.218359376192908</v>
      </c>
      <c r="M50" s="57">
        <f t="shared" si="13"/>
        <v>0.129132395661124</v>
      </c>
      <c r="N50"/>
      <c r="O50"/>
      <c r="P50"/>
    </row>
    <row r="51" spans="1:1">
      <c r="A51" s="52"/>
    </row>
    <row r="52" spans="1:16">
      <c r="A52" s="52"/>
      <c r="C52" s="34"/>
      <c r="D52" s="34"/>
      <c r="E52" s="40"/>
      <c r="F52" s="40"/>
      <c r="G52" s="40">
        <f>G48-F48</f>
        <v>0.9058736</v>
      </c>
      <c r="H52" s="40">
        <f t="shared" ref="H52:M52" si="14">H48-G48</f>
        <v>1.904912218</v>
      </c>
      <c r="I52" s="40">
        <f t="shared" si="14"/>
        <v>2.01267736488</v>
      </c>
      <c r="J52" s="40">
        <f t="shared" si="14"/>
        <v>0.513827514293601</v>
      </c>
      <c r="K52" s="40">
        <f t="shared" si="14"/>
        <v>-1.18214394966481</v>
      </c>
      <c r="L52" s="40">
        <f t="shared" si="14"/>
        <v>-1.77572708761011</v>
      </c>
      <c r="M52" s="40">
        <f t="shared" si="14"/>
        <v>-1.27467115045406</v>
      </c>
      <c r="N52"/>
      <c r="O52"/>
      <c r="P52"/>
    </row>
    <row r="53" spans="1:13">
      <c r="A53" s="52"/>
      <c r="F53" s="4"/>
      <c r="G53" s="4"/>
      <c r="H53" s="4"/>
      <c r="I53" s="4"/>
      <c r="J53" s="4"/>
      <c r="K53" s="4"/>
      <c r="L53" s="4"/>
      <c r="M53" s="4"/>
    </row>
    <row r="54" spans="1:1">
      <c r="A54" s="52"/>
    </row>
    <row r="55" spans="1:1">
      <c r="A55" s="52"/>
    </row>
    <row r="56" spans="1:18">
      <c r="A56" s="52"/>
      <c r="B56" s="34"/>
      <c r="C56" s="34"/>
      <c r="D56" s="34"/>
      <c r="E56" s="34"/>
      <c r="F56" s="34"/>
      <c r="G56" s="45"/>
      <c r="H56" s="45"/>
      <c r="I56" s="45"/>
      <c r="J56" s="45"/>
      <c r="K56" s="45"/>
      <c r="L56" s="45"/>
      <c r="M56" s="45"/>
      <c r="N56"/>
      <c r="O56"/>
      <c r="P56"/>
      <c r="Q56"/>
      <c r="R56"/>
    </row>
    <row r="57" spans="1:18">
      <c r="A57" s="52"/>
      <c r="B57" s="34"/>
      <c r="C57" s="34"/>
      <c r="D57" s="34"/>
      <c r="E57" s="34"/>
      <c r="F57" s="34"/>
      <c r="G57" s="45"/>
      <c r="H57" s="45"/>
      <c r="I57" s="45"/>
      <c r="J57" s="45"/>
      <c r="K57" s="45"/>
      <c r="L57" s="45"/>
      <c r="M57" s="45"/>
      <c r="N57"/>
      <c r="O57"/>
      <c r="P57"/>
      <c r="Q57"/>
      <c r="R57"/>
    </row>
    <row r="75" spans="1:1">
      <c r="A75" s="52" t="s">
        <v>33</v>
      </c>
    </row>
    <row r="76" spans="1:1">
      <c r="A76" s="59" t="s">
        <v>157</v>
      </c>
    </row>
  </sheetData>
  <pageMargins left="0.75" right="0.75" top="1" bottom="1" header="0.5" footer="0.5"/>
  <headerFooter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W83"/>
  <sheetViews>
    <sheetView showGridLines="0" topLeftCell="A3" workbookViewId="0">
      <selection activeCell="H40" sqref="H40"/>
    </sheetView>
  </sheetViews>
  <sheetFormatPr defaultColWidth="9" defaultRowHeight="14.25"/>
  <cols>
    <col min="2" max="2" width="54.575" style="31"/>
    <col min="3" max="3" width="13" style="32"/>
    <col min="4" max="7" width="15.1416666666667" style="32"/>
    <col min="8" max="8" width="13.75" style="33"/>
    <col min="9" max="14" width="13.75" style="34"/>
    <col min="15" max="15" width="9" style="2"/>
    <col min="16" max="22" width="16.575" style="32"/>
  </cols>
  <sheetData>
    <row r="2" ht="20" customHeight="1" spans="2:14">
      <c r="B2" s="31" t="s">
        <v>239</v>
      </c>
      <c r="C2" s="31"/>
      <c r="D2" s="31"/>
      <c r="E2" s="31"/>
      <c r="F2" s="31"/>
      <c r="G2" s="31"/>
      <c r="I2" s="33"/>
      <c r="J2" s="33"/>
      <c r="K2" s="33"/>
      <c r="L2" s="33"/>
      <c r="M2" s="33"/>
      <c r="N2" s="33"/>
    </row>
    <row r="3" spans="2:23">
      <c r="B3" s="35"/>
      <c r="C3" s="36">
        <v>2014</v>
      </c>
      <c r="D3" s="36">
        <v>2015</v>
      </c>
      <c r="E3" s="36">
        <v>2016</v>
      </c>
      <c r="F3" s="36">
        <v>2017</v>
      </c>
      <c r="G3" s="36">
        <v>2018</v>
      </c>
      <c r="H3" s="37">
        <v>2019</v>
      </c>
      <c r="I3" s="37">
        <v>2020</v>
      </c>
      <c r="J3" s="37">
        <v>2021</v>
      </c>
      <c r="K3" s="37">
        <v>2022</v>
      </c>
      <c r="L3" s="37">
        <v>2023</v>
      </c>
      <c r="M3" s="37">
        <v>2024</v>
      </c>
      <c r="N3" s="37">
        <v>2025</v>
      </c>
      <c r="P3" s="45"/>
      <c r="Q3" s="45"/>
      <c r="R3" s="45"/>
      <c r="S3" s="45"/>
      <c r="T3" s="45"/>
      <c r="U3" s="45"/>
      <c r="V3" s="45"/>
      <c r="W3" s="2"/>
    </row>
    <row r="4" spans="2:14">
      <c r="B4" s="2" t="s">
        <v>240</v>
      </c>
      <c r="C4" s="38">
        <v>0.37</v>
      </c>
      <c r="D4" s="38">
        <v>0.53</v>
      </c>
      <c r="E4" s="38">
        <v>0.73</v>
      </c>
      <c r="F4" s="38">
        <v>1.58</v>
      </c>
      <c r="G4" s="38">
        <v>1.28</v>
      </c>
      <c r="H4" s="39">
        <f>IS!H24</f>
        <v>0.174624247999998</v>
      </c>
      <c r="I4" s="39">
        <f>IS!I24</f>
        <v>0.677207176305</v>
      </c>
      <c r="J4" s="39">
        <f>IS!J24</f>
        <v>1.3088365314888</v>
      </c>
      <c r="K4" s="39">
        <f>IS!K24</f>
        <v>2.70618294475488</v>
      </c>
      <c r="L4" s="39">
        <f>IS!L24</f>
        <v>4.44917713563092</v>
      </c>
      <c r="M4" s="39">
        <f>IS!M24</f>
        <v>6.44617632047515</v>
      </c>
      <c r="N4" s="39">
        <f>IS!N24</f>
        <v>8.27251425233552</v>
      </c>
    </row>
    <row r="5" spans="2:14">
      <c r="B5" s="2" t="s">
        <v>241</v>
      </c>
      <c r="C5" s="38">
        <v>0.02</v>
      </c>
      <c r="D5" s="38">
        <v>0</v>
      </c>
      <c r="E5" s="38">
        <v>0.07</v>
      </c>
      <c r="F5" s="38">
        <v>0.1</v>
      </c>
      <c r="G5" s="38">
        <v>0.12</v>
      </c>
      <c r="H5" s="34">
        <v>0.09</v>
      </c>
      <c r="I5" s="34">
        <f t="shared" ref="I5:N5" si="0">H5</f>
        <v>0.09</v>
      </c>
      <c r="J5" s="34">
        <f t="shared" si="0"/>
        <v>0.09</v>
      </c>
      <c r="K5" s="34">
        <f t="shared" si="0"/>
        <v>0.09</v>
      </c>
      <c r="L5" s="34">
        <f t="shared" si="0"/>
        <v>0.09</v>
      </c>
      <c r="M5" s="34">
        <f t="shared" si="0"/>
        <v>0.09</v>
      </c>
      <c r="N5" s="34">
        <f t="shared" si="0"/>
        <v>0.09</v>
      </c>
    </row>
    <row r="6" spans="2:14">
      <c r="B6" s="2" t="s">
        <v>242</v>
      </c>
      <c r="C6" s="38">
        <v>0.01</v>
      </c>
      <c r="D6" s="38">
        <v>0.03</v>
      </c>
      <c r="E6" s="38">
        <v>0.05</v>
      </c>
      <c r="F6" s="38">
        <v>0.07</v>
      </c>
      <c r="G6" s="38">
        <v>0.09</v>
      </c>
      <c r="H6" s="40">
        <f>资本开支!G12</f>
        <v>0.10384</v>
      </c>
      <c r="I6" s="40">
        <f>资本开支!H12</f>
        <v>0.31470208</v>
      </c>
      <c r="J6" s="40">
        <f>资本开支!I12</f>
        <v>0.50700829696</v>
      </c>
      <c r="K6" s="40">
        <f>资本开支!J12</f>
        <v>0.81439156682752</v>
      </c>
      <c r="L6" s="40">
        <f>资本开支!K12</f>
        <v>1.0507251089467</v>
      </c>
      <c r="M6" s="40">
        <f>资本开支!L12</f>
        <v>1.13426129935939</v>
      </c>
      <c r="N6" s="40">
        <f>资本开支!M12</f>
        <v>1.21044630501576</v>
      </c>
    </row>
    <row r="7" spans="2:14">
      <c r="B7" s="2" t="s">
        <v>243</v>
      </c>
      <c r="C7" s="38">
        <v>0</v>
      </c>
      <c r="D7" s="38">
        <v>0</v>
      </c>
      <c r="E7" s="38">
        <v>0.01</v>
      </c>
      <c r="F7" s="38">
        <v>0.01</v>
      </c>
      <c r="G7" s="38">
        <v>0.02</v>
      </c>
      <c r="H7" s="40">
        <f>资本开支!G19</f>
        <v>0.205</v>
      </c>
      <c r="I7" s="40">
        <f>资本开支!H19</f>
        <v>0.40375</v>
      </c>
      <c r="J7" s="40">
        <f>资本开支!I19</f>
        <v>0.6778125</v>
      </c>
      <c r="K7" s="40">
        <f>资本开支!J19</f>
        <v>0.508359375</v>
      </c>
      <c r="L7" s="40">
        <f>资本开支!K19</f>
        <v>0.38126953125</v>
      </c>
      <c r="M7" s="40">
        <f>资本开支!L19</f>
        <v>0.2859521484375</v>
      </c>
      <c r="N7" s="40">
        <f>资本开支!M19</f>
        <v>0.214464111328125</v>
      </c>
    </row>
    <row r="8" spans="2:8">
      <c r="B8" s="2" t="s">
        <v>244</v>
      </c>
      <c r="H8" s="34"/>
    </row>
    <row r="9" spans="2:14">
      <c r="B9" s="2" t="s">
        <v>245</v>
      </c>
      <c r="C9" s="38">
        <v>0</v>
      </c>
      <c r="D9" s="38">
        <v>0.02</v>
      </c>
      <c r="E9" s="38">
        <v>0.04</v>
      </c>
      <c r="F9" s="38">
        <v>0.04</v>
      </c>
      <c r="G9" s="38">
        <v>0.05</v>
      </c>
      <c r="H9" s="39">
        <f>BS!G19/10</f>
        <v>0.0134922352941176</v>
      </c>
      <c r="I9" s="39">
        <f>BS!H19/10</f>
        <v>0.0149370052941176</v>
      </c>
      <c r="J9" s="39">
        <f>BS!I19/10</f>
        <v>0.0186656420235294</v>
      </c>
      <c r="K9" s="39">
        <f>BS!J19/10</f>
        <v>0.0227325579922353</v>
      </c>
      <c r="L9" s="39">
        <f>BS!K19/10</f>
        <v>0.0279843375025859</v>
      </c>
      <c r="M9" s="39">
        <f>BS!L19/10</f>
        <v>0.0351234293819658</v>
      </c>
      <c r="N9" s="39">
        <f>BS!M19/10</f>
        <v>0.0425730910131246</v>
      </c>
    </row>
    <row r="10" spans="2:14">
      <c r="B10" s="2" t="s">
        <v>246</v>
      </c>
      <c r="D10" s="38">
        <v>0</v>
      </c>
      <c r="E10" s="38">
        <v>0</v>
      </c>
      <c r="F10" s="38">
        <v>0.01</v>
      </c>
      <c r="G10" s="38">
        <v>0</v>
      </c>
      <c r="H10" s="34">
        <v>0</v>
      </c>
      <c r="I10" s="34">
        <v>0</v>
      </c>
      <c r="J10" s="34">
        <v>0</v>
      </c>
      <c r="K10" s="34">
        <v>0</v>
      </c>
      <c r="L10" s="34">
        <v>0</v>
      </c>
      <c r="M10" s="34">
        <v>0</v>
      </c>
      <c r="N10" s="34">
        <v>0</v>
      </c>
    </row>
    <row r="11" spans="2:14">
      <c r="B11" s="2" t="s">
        <v>247</v>
      </c>
      <c r="C11" s="38">
        <v>0</v>
      </c>
      <c r="D11" s="38">
        <v>0.01</v>
      </c>
      <c r="E11" s="38">
        <v>0.04</v>
      </c>
      <c r="F11" s="38">
        <v>0.03</v>
      </c>
      <c r="G11" s="38">
        <v>0.03</v>
      </c>
      <c r="H11" s="41">
        <f>IS!H12</f>
        <v>0.115211152</v>
      </c>
      <c r="I11" s="41">
        <f>IS!I12</f>
        <v>0.24855500726</v>
      </c>
      <c r="J11" s="41">
        <f>IS!J12</f>
        <v>0.3894424228016</v>
      </c>
      <c r="K11" s="41">
        <f>IS!K12</f>
        <v>0.425410348802152</v>
      </c>
      <c r="L11" s="41">
        <f>IS!L12</f>
        <v>0.342660272325615</v>
      </c>
      <c r="M11" s="41">
        <f>IS!M12</f>
        <v>0.218359376192908</v>
      </c>
      <c r="N11" s="41">
        <f>IS!N12</f>
        <v>0.129132395661124</v>
      </c>
    </row>
    <row r="12" spans="2:14">
      <c r="B12" s="2" t="s">
        <v>248</v>
      </c>
      <c r="F12" s="38">
        <v>-0.01</v>
      </c>
      <c r="G12" s="38">
        <v>-0.2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</row>
    <row r="13" spans="2:14">
      <c r="B13" s="2" t="s">
        <v>249</v>
      </c>
      <c r="C13" s="38">
        <v>0.03</v>
      </c>
      <c r="D13" s="38">
        <v>-0.01</v>
      </c>
      <c r="E13" s="38">
        <v>-0.11</v>
      </c>
      <c r="F13" s="38">
        <v>-0.02</v>
      </c>
      <c r="G13" s="38">
        <v>0.05</v>
      </c>
      <c r="H13" s="39">
        <f>BS!F20-BS!G20</f>
        <v>-0.00468399999999999</v>
      </c>
      <c r="I13" s="39">
        <f>BS!G20-BS!H20</f>
        <v>-0.012280545</v>
      </c>
      <c r="J13" s="39">
        <f>BS!H20-BS!I20</f>
        <v>-0.0316934122</v>
      </c>
      <c r="K13" s="39">
        <f>BS!I20-BS!J20</f>
        <v>-0.034568785734</v>
      </c>
      <c r="L13" s="39">
        <f>BS!J20-BS!K20</f>
        <v>-0.04464012583798</v>
      </c>
      <c r="M13" s="39">
        <f>BS!K20-BS!L20</f>
        <v>-0.0606822809747294</v>
      </c>
      <c r="N13" s="39">
        <f>BS!L20-BS!M20</f>
        <v>-0.0633221238648495</v>
      </c>
    </row>
    <row r="14" spans="2:8">
      <c r="B14" s="2" t="s">
        <v>250</v>
      </c>
      <c r="H14" s="34"/>
    </row>
    <row r="15" spans="2:14">
      <c r="B15" s="2" t="s">
        <v>251</v>
      </c>
      <c r="C15" s="38">
        <v>-0.45</v>
      </c>
      <c r="D15" s="38">
        <v>-1.72</v>
      </c>
      <c r="E15" s="38">
        <v>-0.74</v>
      </c>
      <c r="F15" s="38">
        <v>0.37</v>
      </c>
      <c r="G15" s="38">
        <v>-2.94</v>
      </c>
      <c r="H15" s="39">
        <f>BS!F11-BS!G11</f>
        <v>0.562933333333334</v>
      </c>
      <c r="I15" s="39">
        <f>BS!G11-BS!H11</f>
        <v>-0.545801999999999</v>
      </c>
      <c r="J15" s="39">
        <f>BS!H11-BS!I11</f>
        <v>-1.40859609777778</v>
      </c>
      <c r="K15" s="39">
        <f>BS!I11-BS!J11</f>
        <v>-1.53639047706667</v>
      </c>
      <c r="L15" s="39">
        <f>BS!J11-BS!K11</f>
        <v>-1.98400559279911</v>
      </c>
      <c r="M15" s="39">
        <f>BS!K11-BS!L11</f>
        <v>-2.69699026554353</v>
      </c>
      <c r="N15" s="39">
        <f>BS!L11-BS!M11</f>
        <v>-2.81431661621554</v>
      </c>
    </row>
    <row r="16" spans="2:14">
      <c r="B16" s="2" t="s">
        <v>252</v>
      </c>
      <c r="C16" s="38">
        <v>-0.6</v>
      </c>
      <c r="D16" s="38">
        <v>-0.09</v>
      </c>
      <c r="E16" s="38">
        <v>-0.56</v>
      </c>
      <c r="F16" s="38">
        <v>-0.55</v>
      </c>
      <c r="G16" s="38">
        <v>-0.48</v>
      </c>
      <c r="H16" s="39">
        <f>BS!F6-BS!G6</f>
        <v>-0.274266666666667</v>
      </c>
      <c r="I16" s="39">
        <f>BS!G6-BS!H6</f>
        <v>-0.0983230090090088</v>
      </c>
      <c r="J16" s="39">
        <f>BS!H6-BS!I6</f>
        <v>-0.297494084324324</v>
      </c>
      <c r="K16" s="39">
        <f>BS!I6-BS!J6</f>
        <v>-0.418854001448649</v>
      </c>
      <c r="L16" s="39">
        <f>BS!J6-BS!K6</f>
        <v>-0.414924015098509</v>
      </c>
      <c r="M16" s="39">
        <f>BS!K6-BS!L6</f>
        <v>-0.481629720919936</v>
      </c>
      <c r="N16" s="39">
        <f>BS!L6-BS!M6</f>
        <v>-0.460901584547753</v>
      </c>
    </row>
    <row r="17" spans="2:14">
      <c r="B17" s="2" t="s">
        <v>253</v>
      </c>
      <c r="C17" s="38">
        <v>0.9</v>
      </c>
      <c r="D17" s="38">
        <v>1.46</v>
      </c>
      <c r="E17" s="38">
        <v>-0.43</v>
      </c>
      <c r="F17" s="38">
        <v>0.04</v>
      </c>
      <c r="G17" s="38">
        <v>1.81</v>
      </c>
      <c r="H17" s="39">
        <f>BS!G24-BS!F24</f>
        <v>0.0634029850746267</v>
      </c>
      <c r="I17" s="39">
        <f>BS!H24-BS!G24</f>
        <v>0.36658343283582</v>
      </c>
      <c r="J17" s="39">
        <f>BS!I24-BS!H24</f>
        <v>0.946072005970149</v>
      </c>
      <c r="K17" s="39">
        <f>BS!J24-BS!I24</f>
        <v>1.03190405176119</v>
      </c>
      <c r="L17" s="39">
        <f>BS!K24-BS!J24</f>
        <v>1.33254106979045</v>
      </c>
      <c r="M17" s="39">
        <f>BS!L24-BS!K24</f>
        <v>1.81141137237998</v>
      </c>
      <c r="N17" s="39">
        <f>BS!M24-BS!L24</f>
        <v>1.89021265268208</v>
      </c>
    </row>
    <row r="18" spans="2:8">
      <c r="B18" s="2" t="s">
        <v>254</v>
      </c>
      <c r="H18" s="34"/>
    </row>
    <row r="19" spans="2:14">
      <c r="B19" s="2" t="s">
        <v>255</v>
      </c>
      <c r="C19" s="38">
        <v>0.09</v>
      </c>
      <c r="D19" s="38">
        <v>0.32</v>
      </c>
      <c r="E19" s="38">
        <v>0.17</v>
      </c>
      <c r="F19" s="38">
        <v>0.06</v>
      </c>
      <c r="G19" s="38">
        <v>-0.18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</row>
    <row r="20" spans="2:14">
      <c r="B20" s="42" t="s">
        <v>256</v>
      </c>
      <c r="C20" s="43">
        <v>0.38</v>
      </c>
      <c r="D20" s="43">
        <v>0.55</v>
      </c>
      <c r="E20" s="43">
        <v>-0.73</v>
      </c>
      <c r="F20" s="43">
        <v>1.73</v>
      </c>
      <c r="G20" s="43">
        <v>-0.35</v>
      </c>
      <c r="H20" s="44">
        <f>SUM(H4:H19)</f>
        <v>1.04955328703541</v>
      </c>
      <c r="I20" s="44">
        <f t="shared" ref="I20:N20" si="1">SUM(I4:I19)</f>
        <v>1.45932914768593</v>
      </c>
      <c r="J20" s="44">
        <f t="shared" si="1"/>
        <v>2.20005380494198</v>
      </c>
      <c r="K20" s="44">
        <f t="shared" si="1"/>
        <v>3.60916758088867</v>
      </c>
      <c r="L20" s="44">
        <f t="shared" si="1"/>
        <v>5.23078772171067</v>
      </c>
      <c r="M20" s="44">
        <f t="shared" si="1"/>
        <v>6.7819816787887</v>
      </c>
      <c r="N20" s="44">
        <f t="shared" si="1"/>
        <v>8.51080248340759</v>
      </c>
    </row>
    <row r="21" spans="2:8">
      <c r="B21" s="2" t="s">
        <v>257</v>
      </c>
      <c r="H21" s="34"/>
    </row>
    <row r="22" spans="2:22">
      <c r="B22" s="2" t="s">
        <v>258</v>
      </c>
      <c r="F22" s="38">
        <v>0.01</v>
      </c>
      <c r="G22" s="38">
        <v>0.18</v>
      </c>
      <c r="H22" s="39">
        <f>H25*1%*-1</f>
        <v>0.128</v>
      </c>
      <c r="I22" s="39">
        <f t="shared" ref="I22:N22" si="2">I25*1%*-1</f>
        <v>0.089313964118475</v>
      </c>
      <c r="J22" s="39">
        <f t="shared" si="2"/>
        <v>0.081155817342556</v>
      </c>
      <c r="K22" s="39">
        <f t="shared" si="2"/>
        <v>0.0740690852762256</v>
      </c>
      <c r="L22" s="39">
        <f t="shared" si="2"/>
        <v>0.0457082286436908</v>
      </c>
      <c r="M22" s="39">
        <f t="shared" si="2"/>
        <v>0.0397382367952485</v>
      </c>
      <c r="N22" s="39">
        <f t="shared" si="2"/>
        <v>0.0224748574766448</v>
      </c>
      <c r="R22" s="38"/>
      <c r="S22" s="38"/>
      <c r="T22" s="38"/>
      <c r="U22" s="38"/>
      <c r="V22" s="38"/>
    </row>
    <row r="23" spans="2:22">
      <c r="B23" s="2" t="s">
        <v>259</v>
      </c>
      <c r="D23" s="38">
        <v>0.01</v>
      </c>
      <c r="E23" s="38">
        <v>0</v>
      </c>
      <c r="F23" s="38">
        <v>0</v>
      </c>
      <c r="G23" s="38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  <c r="Q23" s="38"/>
      <c r="R23" s="38"/>
      <c r="S23" s="38"/>
      <c r="T23" s="38"/>
      <c r="U23" s="38"/>
      <c r="V23" s="38"/>
    </row>
    <row r="24" spans="2:22">
      <c r="B24" s="2" t="s">
        <v>260</v>
      </c>
      <c r="C24" s="38">
        <v>0.03</v>
      </c>
      <c r="D24" s="38">
        <v>0.02</v>
      </c>
      <c r="E24" s="38">
        <v>0.04</v>
      </c>
      <c r="F24" s="38">
        <v>1.24</v>
      </c>
      <c r="G24" s="38">
        <v>12.2</v>
      </c>
      <c r="H24" s="34">
        <v>14.5</v>
      </c>
      <c r="I24" s="39">
        <f t="shared" ref="I24:N24" si="3">H25*0.8*-1</f>
        <v>10.24</v>
      </c>
      <c r="J24" s="39">
        <f t="shared" si="3"/>
        <v>7.145117129478</v>
      </c>
      <c r="K24" s="39">
        <f t="shared" si="3"/>
        <v>6.49246538740448</v>
      </c>
      <c r="L24" s="39">
        <f t="shared" si="3"/>
        <v>5.92552682209805</v>
      </c>
      <c r="M24" s="39">
        <f t="shared" si="3"/>
        <v>3.65665829149526</v>
      </c>
      <c r="N24" s="39">
        <f t="shared" si="3"/>
        <v>3.17905894361988</v>
      </c>
      <c r="R24" s="38"/>
      <c r="S24" s="38"/>
      <c r="T24" s="38"/>
      <c r="U24" s="38"/>
      <c r="V24" s="38"/>
    </row>
    <row r="25" spans="2:22">
      <c r="B25" s="2" t="s">
        <v>261</v>
      </c>
      <c r="C25" s="38">
        <v>-0.02</v>
      </c>
      <c r="F25" s="38">
        <v>-1.22</v>
      </c>
      <c r="G25" s="38">
        <v>-16.5</v>
      </c>
      <c r="H25" s="34">
        <v>-12.8</v>
      </c>
      <c r="I25" s="39">
        <f>$H$25+资本开支!H7+IS!I30*0.5</f>
        <v>-8.9313964118475</v>
      </c>
      <c r="J25" s="39">
        <f>$H$25+资本开支!I7+IS!J30*0.5</f>
        <v>-8.1155817342556</v>
      </c>
      <c r="K25" s="39">
        <f>$H$25+资本开支!J7+IS!K30*0.5</f>
        <v>-7.40690852762256</v>
      </c>
      <c r="L25" s="39">
        <f>$H$25+资本开支!K7+IS!L30</f>
        <v>-4.57082286436908</v>
      </c>
      <c r="M25" s="39">
        <f>$H$25+资本开支!L7+IS!M30</f>
        <v>-3.97382367952485</v>
      </c>
      <c r="N25" s="39">
        <f>$H$25+资本开支!M7+IS!N30</f>
        <v>-2.24748574766448</v>
      </c>
      <c r="Q25" s="38"/>
      <c r="R25" s="38"/>
      <c r="S25" s="38"/>
      <c r="T25" s="38"/>
      <c r="U25" s="38"/>
      <c r="V25" s="38"/>
    </row>
    <row r="26" spans="2:22">
      <c r="B26" s="2" t="s">
        <v>262</v>
      </c>
      <c r="C26" s="38">
        <v>-0.08</v>
      </c>
      <c r="D26" s="38">
        <v>-0.7</v>
      </c>
      <c r="E26" s="38">
        <v>-0.17</v>
      </c>
      <c r="F26" s="38">
        <v>-0.7</v>
      </c>
      <c r="G26" s="38">
        <v>-1.01</v>
      </c>
      <c r="H26" s="34">
        <f>资本开支!G7*-1</f>
        <v>-2.06</v>
      </c>
      <c r="I26" s="34">
        <f>资本开支!H7*-1</f>
        <v>-3.5</v>
      </c>
      <c r="J26" s="34">
        <f>资本开支!I7*-1</f>
        <v>-4</v>
      </c>
      <c r="K26" s="34">
        <f>资本开支!J7*-1</f>
        <v>-4</v>
      </c>
      <c r="L26" s="34">
        <f>资本开支!K7*-1</f>
        <v>-3.7</v>
      </c>
      <c r="M26" s="34">
        <f>资本开支!L7*-1</f>
        <v>-2.3</v>
      </c>
      <c r="N26" s="34">
        <f>资本开支!M7*-1</f>
        <v>-2.2</v>
      </c>
      <c r="P26" s="38"/>
      <c r="Q26" s="38"/>
      <c r="R26" s="38"/>
      <c r="S26" s="38"/>
      <c r="T26" s="38"/>
      <c r="U26" s="38"/>
      <c r="V26" s="38"/>
    </row>
    <row r="27" spans="2:22">
      <c r="B27" s="2" t="s">
        <v>263</v>
      </c>
      <c r="C27" s="38">
        <v>-0.07</v>
      </c>
      <c r="D27" s="38">
        <v>-0.68</v>
      </c>
      <c r="E27" s="38">
        <v>-0.14</v>
      </c>
      <c r="F27" s="38">
        <v>-0.66</v>
      </c>
      <c r="G27" s="38">
        <v>-5.13</v>
      </c>
      <c r="H27" s="39">
        <f>SUM(H22:H26)</f>
        <v>-0.232000000000001</v>
      </c>
      <c r="I27" s="39">
        <f t="shared" ref="I27:N27" si="4">SUM(I22:I26)</f>
        <v>-2.10208244772902</v>
      </c>
      <c r="J27" s="39">
        <f t="shared" si="4"/>
        <v>-4.88930878743504</v>
      </c>
      <c r="K27" s="39">
        <f t="shared" si="4"/>
        <v>-4.84037405494185</v>
      </c>
      <c r="L27" s="39">
        <f t="shared" si="4"/>
        <v>-2.29958781362734</v>
      </c>
      <c r="M27" s="39">
        <f t="shared" si="4"/>
        <v>-2.57742715123434</v>
      </c>
      <c r="N27" s="39">
        <f t="shared" si="4"/>
        <v>-1.24595194656796</v>
      </c>
      <c r="P27" s="38"/>
      <c r="Q27" s="38"/>
      <c r="R27" s="38"/>
      <c r="S27" s="38"/>
      <c r="T27" s="38"/>
      <c r="U27" s="38"/>
      <c r="V27" s="38"/>
    </row>
    <row r="28" spans="2:8">
      <c r="B28" s="2" t="s">
        <v>264</v>
      </c>
      <c r="H28" s="34"/>
    </row>
    <row r="29" spans="2:22">
      <c r="B29" s="2" t="s">
        <v>265</v>
      </c>
      <c r="D29" s="38">
        <v>0.28</v>
      </c>
      <c r="E29" s="38">
        <v>1.11</v>
      </c>
      <c r="G29" s="38">
        <v>7.97</v>
      </c>
      <c r="H29" s="34">
        <v>0.22</v>
      </c>
      <c r="I29" s="34">
        <v>0</v>
      </c>
      <c r="J29" s="34">
        <v>0</v>
      </c>
      <c r="K29" s="39">
        <f>IS!K26*0.12</f>
        <v>0.324741953370586</v>
      </c>
      <c r="L29" s="34">
        <v>0</v>
      </c>
      <c r="M29" s="34">
        <v>0</v>
      </c>
      <c r="N29" s="34">
        <v>0</v>
      </c>
      <c r="P29" s="38"/>
      <c r="Q29" s="38"/>
      <c r="R29" s="38"/>
      <c r="S29" s="38"/>
      <c r="U29" s="38"/>
      <c r="V29" s="38"/>
    </row>
    <row r="30" spans="2:22">
      <c r="B30" s="2" t="s">
        <v>266</v>
      </c>
      <c r="D30" s="38">
        <v>0.02</v>
      </c>
      <c r="E30" s="38">
        <v>0.02</v>
      </c>
      <c r="H30" s="34"/>
      <c r="U30" s="38"/>
      <c r="V30" s="38"/>
    </row>
    <row r="31" spans="2:22">
      <c r="B31" s="2" t="s">
        <v>267</v>
      </c>
      <c r="C31" s="38">
        <v>0.14</v>
      </c>
      <c r="D31" s="38">
        <v>0.31</v>
      </c>
      <c r="E31" s="38">
        <v>0.47</v>
      </c>
      <c r="F31" s="38">
        <v>0.96</v>
      </c>
      <c r="G31" s="38">
        <v>0.41</v>
      </c>
      <c r="H31" s="34">
        <f>BS!G23-BS!F23+BS!G31-BS!F31</f>
        <v>0.9</v>
      </c>
      <c r="I31" s="34">
        <f>BS!H23-BS!G23+BS!H31-BS!G31</f>
        <v>1.9</v>
      </c>
      <c r="J31" s="34">
        <f>BS!I23-BS!H23+BS!I31-BS!H31</f>
        <v>2</v>
      </c>
      <c r="K31" s="34">
        <f>BS!J23-BS!I23+BS!J31-BS!I31</f>
        <v>0.5</v>
      </c>
      <c r="L31" s="34">
        <f>BS!K23-BS!J23+BS!K31-BS!J31</f>
        <v>-1.2</v>
      </c>
      <c r="M31" s="34">
        <f>BS!L23-BS!K23+BS!L31-BS!K31</f>
        <v>-1.8</v>
      </c>
      <c r="N31" s="34">
        <f>BS!M23-BS!L23+BS!M31-BS!L31</f>
        <v>-1.3</v>
      </c>
      <c r="R31" s="38"/>
      <c r="S31" s="38"/>
      <c r="T31" s="38"/>
      <c r="U31" s="38"/>
      <c r="V31" s="38"/>
    </row>
    <row r="32" spans="2:22">
      <c r="B32" s="2" t="s">
        <v>268</v>
      </c>
      <c r="G32" s="38">
        <v>0.22</v>
      </c>
      <c r="H32" s="34">
        <v>0.08</v>
      </c>
      <c r="I32" s="34">
        <v>0.09</v>
      </c>
      <c r="J32" s="34">
        <v>0.1</v>
      </c>
      <c r="K32" s="34">
        <v>0.12</v>
      </c>
      <c r="L32" s="34">
        <v>0.14</v>
      </c>
      <c r="M32" s="34">
        <v>0.14</v>
      </c>
      <c r="N32" s="34">
        <v>0.14</v>
      </c>
      <c r="S32" s="38"/>
      <c r="U32" s="38"/>
      <c r="V32" s="38"/>
    </row>
    <row r="33" spans="1:22">
      <c r="A33">
        <v>-1</v>
      </c>
      <c r="B33" s="2" t="s">
        <v>269</v>
      </c>
      <c r="C33" s="45">
        <v>-0.01</v>
      </c>
      <c r="D33" s="45">
        <v>-0.01</v>
      </c>
      <c r="E33" s="45">
        <v>-0.04</v>
      </c>
      <c r="F33" s="45">
        <v>-0.03</v>
      </c>
      <c r="G33" s="45">
        <v>-0.67</v>
      </c>
      <c r="H33" s="39">
        <f>(IS!H37+IS!H12)*-1</f>
        <v>-0.188598426399999</v>
      </c>
      <c r="I33" s="39">
        <f>(IS!I37+IS!I12)*-1</f>
        <v>-0.4697171601515</v>
      </c>
      <c r="J33" s="39">
        <f>(IS!J37+IS!J12)*-1</f>
        <v>-0.80009338224824</v>
      </c>
      <c r="K33" s="39">
        <f>(IS!K37+IS!K12)*-1</f>
        <v>-1.26126523222862</v>
      </c>
      <c r="L33" s="39">
        <f>(IS!L37+IS!L12)*-1</f>
        <v>-1.70141341301489</v>
      </c>
      <c r="M33" s="39">
        <f>(IS!M37+IS!M12)*-1</f>
        <v>-2.17621227233545</v>
      </c>
      <c r="N33" s="39">
        <f>(IS!N37+IS!N12)*-1</f>
        <v>-2.63488667136178</v>
      </c>
      <c r="P33" s="38"/>
      <c r="Q33" s="38"/>
      <c r="R33" s="38"/>
      <c r="S33" s="38"/>
      <c r="T33" s="38"/>
      <c r="U33" s="38"/>
      <c r="V33" s="38"/>
    </row>
    <row r="34" spans="2:22">
      <c r="B34" s="2" t="s">
        <v>270</v>
      </c>
      <c r="F34" s="45">
        <v>-0.22</v>
      </c>
      <c r="G34" s="45">
        <v>-0.24</v>
      </c>
      <c r="H34" s="34">
        <v>-2.66</v>
      </c>
      <c r="I34" s="34">
        <v>-0.48</v>
      </c>
      <c r="J34" s="34">
        <v>-0.48</v>
      </c>
      <c r="K34" s="34">
        <v>-0.48</v>
      </c>
      <c r="L34" s="34">
        <v>0</v>
      </c>
      <c r="M34" s="34">
        <v>0</v>
      </c>
      <c r="N34" s="34">
        <v>0</v>
      </c>
      <c r="P34" s="38"/>
      <c r="R34" s="38"/>
      <c r="S34" s="38"/>
      <c r="U34" s="38"/>
      <c r="V34" s="38"/>
    </row>
    <row r="35" spans="2:22">
      <c r="B35" s="42" t="s">
        <v>271</v>
      </c>
      <c r="C35" s="43">
        <v>0.13</v>
      </c>
      <c r="D35" s="43">
        <v>0.53</v>
      </c>
      <c r="E35" s="43">
        <v>1.51</v>
      </c>
      <c r="F35" s="43">
        <v>-0.28</v>
      </c>
      <c r="G35" s="43">
        <v>7.46</v>
      </c>
      <c r="H35" s="44">
        <f>SUM(H29:H34)</f>
        <v>-1.6485984264</v>
      </c>
      <c r="I35" s="44">
        <f t="shared" ref="I35:N35" si="5">SUM(I29:I34)</f>
        <v>1.0402828398485</v>
      </c>
      <c r="J35" s="44">
        <f t="shared" si="5"/>
        <v>0.81990661775176</v>
      </c>
      <c r="K35" s="44">
        <f t="shared" si="5"/>
        <v>-0.796523278858031</v>
      </c>
      <c r="L35" s="44">
        <f t="shared" si="5"/>
        <v>-2.76141341301489</v>
      </c>
      <c r="M35" s="44">
        <f t="shared" si="5"/>
        <v>-3.83621227233545</v>
      </c>
      <c r="N35" s="44">
        <f t="shared" si="5"/>
        <v>-3.79488667136178</v>
      </c>
      <c r="P35" s="38"/>
      <c r="Q35" s="38"/>
      <c r="R35" s="38"/>
      <c r="S35" s="38"/>
      <c r="T35" s="38"/>
      <c r="U35" s="38"/>
      <c r="V35" s="38"/>
    </row>
    <row r="36" spans="2:22">
      <c r="B36" s="2" t="s">
        <v>272</v>
      </c>
      <c r="D36" s="38">
        <v>0.01</v>
      </c>
      <c r="E36" s="38">
        <v>0.02</v>
      </c>
      <c r="F36" s="38">
        <v>-0.05</v>
      </c>
      <c r="G36" s="38">
        <v>0.05</v>
      </c>
      <c r="H36" s="34">
        <v>0</v>
      </c>
      <c r="I36" s="34">
        <v>0</v>
      </c>
      <c r="J36" s="34">
        <v>0</v>
      </c>
      <c r="K36" s="34">
        <v>0</v>
      </c>
      <c r="L36" s="34">
        <v>0</v>
      </c>
      <c r="M36" s="34">
        <v>0</v>
      </c>
      <c r="N36" s="34">
        <v>0</v>
      </c>
      <c r="P36" s="38"/>
      <c r="Q36" s="38"/>
      <c r="R36" s="38"/>
      <c r="S36" s="38"/>
      <c r="T36" s="38"/>
      <c r="U36" s="38"/>
      <c r="V36" s="38"/>
    </row>
    <row r="37" spans="2:22">
      <c r="B37" s="2" t="s">
        <v>273</v>
      </c>
      <c r="C37" s="38">
        <v>0.43</v>
      </c>
      <c r="D37" s="38">
        <v>0.4</v>
      </c>
      <c r="E37" s="38">
        <v>0.66</v>
      </c>
      <c r="F37" s="38">
        <v>0.74</v>
      </c>
      <c r="G37" s="38">
        <v>2.03</v>
      </c>
      <c r="H37" s="39">
        <f>H20+H27+H35</f>
        <v>-0.831045139364591</v>
      </c>
      <c r="I37" s="39">
        <f t="shared" ref="I37:N37" si="6">I20+I27+I35</f>
        <v>0.397529539805406</v>
      </c>
      <c r="J37" s="39">
        <f t="shared" si="6"/>
        <v>-1.86934836474131</v>
      </c>
      <c r="K37" s="39">
        <f t="shared" si="6"/>
        <v>-2.02772975291122</v>
      </c>
      <c r="L37" s="39">
        <f t="shared" si="6"/>
        <v>0.169786495068435</v>
      </c>
      <c r="M37" s="39">
        <f t="shared" si="6"/>
        <v>0.368342255218915</v>
      </c>
      <c r="N37" s="39">
        <f t="shared" si="6"/>
        <v>3.46996386547786</v>
      </c>
      <c r="P37" s="38"/>
      <c r="Q37" s="38"/>
      <c r="R37" s="38"/>
      <c r="S37" s="38"/>
      <c r="T37" s="38"/>
      <c r="U37" s="38"/>
      <c r="V37" s="38"/>
    </row>
    <row r="38" spans="2:22">
      <c r="B38" s="2" t="s">
        <v>274</v>
      </c>
      <c r="C38" s="38">
        <v>0.16</v>
      </c>
      <c r="D38" s="38">
        <v>0.6</v>
      </c>
      <c r="E38" s="38">
        <v>1</v>
      </c>
      <c r="F38" s="38">
        <v>1.66</v>
      </c>
      <c r="G38" s="38">
        <v>2.4</v>
      </c>
      <c r="H38" s="34">
        <f>G39</f>
        <v>4.43</v>
      </c>
      <c r="I38" s="39">
        <f t="shared" ref="I38:N38" si="7">H39</f>
        <v>3.59895486063541</v>
      </c>
      <c r="J38" s="39">
        <f t="shared" si="7"/>
        <v>3.99648440044081</v>
      </c>
      <c r="K38" s="39">
        <f t="shared" si="7"/>
        <v>2.12713603569951</v>
      </c>
      <c r="L38" s="39">
        <f t="shared" si="7"/>
        <v>0.0994062827882889</v>
      </c>
      <c r="M38" s="39">
        <f t="shared" si="7"/>
        <v>0.269192777856724</v>
      </c>
      <c r="N38" s="39">
        <f t="shared" si="7"/>
        <v>0.637535033075639</v>
      </c>
      <c r="P38" s="38"/>
      <c r="Q38" s="38"/>
      <c r="R38" s="38"/>
      <c r="S38" s="38"/>
      <c r="T38" s="38"/>
      <c r="U38" s="38"/>
      <c r="V38" s="38"/>
    </row>
    <row r="39" spans="2:22">
      <c r="B39" s="42" t="s">
        <v>275</v>
      </c>
      <c r="C39" s="43">
        <v>0.6</v>
      </c>
      <c r="D39" s="43">
        <v>1</v>
      </c>
      <c r="E39" s="43">
        <v>1.66</v>
      </c>
      <c r="F39" s="43">
        <v>2.4</v>
      </c>
      <c r="G39" s="43">
        <v>4.43</v>
      </c>
      <c r="H39" s="44">
        <f>H37+H38</f>
        <v>3.59895486063541</v>
      </c>
      <c r="I39" s="44">
        <f t="shared" ref="I39:N39" si="8">I37+I38</f>
        <v>3.99648440044081</v>
      </c>
      <c r="J39" s="44">
        <f t="shared" si="8"/>
        <v>2.12713603569951</v>
      </c>
      <c r="K39" s="44">
        <f t="shared" si="8"/>
        <v>0.0994062827882889</v>
      </c>
      <c r="L39" s="44">
        <f t="shared" si="8"/>
        <v>0.269192777856724</v>
      </c>
      <c r="M39" s="44">
        <f t="shared" si="8"/>
        <v>0.637535033075639</v>
      </c>
      <c r="N39" s="44">
        <f t="shared" si="8"/>
        <v>4.1074988985535</v>
      </c>
      <c r="P39" s="38"/>
      <c r="Q39" s="38"/>
      <c r="R39" s="38"/>
      <c r="S39" s="38"/>
      <c r="T39" s="38"/>
      <c r="U39" s="38"/>
      <c r="V39" s="38"/>
    </row>
    <row r="40" spans="2:2">
      <c r="B40" s="2"/>
    </row>
    <row r="41" spans="2:2">
      <c r="B41" s="2"/>
    </row>
    <row r="42" ht="13.5" spans="2:14">
      <c r="B42" s="2" t="s">
        <v>276</v>
      </c>
      <c r="G42" s="46">
        <f>SUM(G13:G17)</f>
        <v>-1.56</v>
      </c>
      <c r="H42" s="46">
        <f t="shared" ref="H42:N42" si="9">SUM(H13:H17)</f>
        <v>0.347385651741294</v>
      </c>
      <c r="I42" s="46">
        <f t="shared" si="9"/>
        <v>-0.289822121173188</v>
      </c>
      <c r="J42" s="46">
        <f t="shared" si="9"/>
        <v>-0.791711588331952</v>
      </c>
      <c r="K42" s="46">
        <f t="shared" si="9"/>
        <v>-0.957909212488122</v>
      </c>
      <c r="L42" s="46">
        <f t="shared" si="9"/>
        <v>-1.11102866394515</v>
      </c>
      <c r="M42" s="46">
        <f t="shared" si="9"/>
        <v>-1.42789089505821</v>
      </c>
      <c r="N42" s="46">
        <f t="shared" si="9"/>
        <v>-1.44832767194606</v>
      </c>
    </row>
    <row r="43" spans="2:2">
      <c r="B43" s="2"/>
    </row>
    <row r="44" spans="2:21">
      <c r="B44" s="2"/>
      <c r="D44" s="38"/>
      <c r="E44" s="38"/>
      <c r="F44" s="38"/>
      <c r="G44" s="38"/>
      <c r="Q44" s="38"/>
      <c r="S44" s="38"/>
      <c r="U44" s="38"/>
    </row>
    <row r="45" spans="2:7">
      <c r="B45" s="2"/>
      <c r="D45" s="38"/>
      <c r="E45" s="38"/>
      <c r="F45" s="38"/>
      <c r="G45" s="38"/>
    </row>
    <row r="46" spans="2:2">
      <c r="B46" s="2"/>
    </row>
    <row r="47" spans="2:2">
      <c r="B47" s="2"/>
    </row>
    <row r="48" spans="2:2">
      <c r="B48" s="2"/>
    </row>
    <row r="49" spans="2:2">
      <c r="B49" s="2"/>
    </row>
    <row r="50" spans="2:7">
      <c r="B50" s="2"/>
      <c r="D50" s="38"/>
      <c r="E50" s="38"/>
      <c r="F50" s="38"/>
      <c r="G50" s="38"/>
    </row>
    <row r="51" spans="2:22">
      <c r="B51" s="2"/>
      <c r="C51" s="45"/>
      <c r="D51" s="45"/>
      <c r="E51" s="45"/>
      <c r="F51" s="45"/>
      <c r="G51" s="45"/>
      <c r="H51" s="34"/>
      <c r="P51" s="45"/>
      <c r="Q51" s="45"/>
      <c r="R51" s="45"/>
      <c r="S51" s="45"/>
      <c r="T51" s="45"/>
      <c r="U51" s="45"/>
      <c r="V51" s="45"/>
    </row>
    <row r="52" spans="2:22">
      <c r="B52" s="2"/>
      <c r="C52" s="45"/>
      <c r="D52" s="45"/>
      <c r="E52" s="45"/>
      <c r="F52" s="45"/>
      <c r="G52" s="45"/>
      <c r="H52" s="34"/>
      <c r="P52" s="45"/>
      <c r="Q52" s="45"/>
      <c r="R52" s="45"/>
      <c r="S52" s="45"/>
      <c r="T52" s="45"/>
      <c r="U52" s="45"/>
      <c r="V52" s="45"/>
    </row>
    <row r="53" spans="2:22">
      <c r="B53" s="2"/>
      <c r="C53" s="45"/>
      <c r="D53" s="45"/>
      <c r="E53" s="45"/>
      <c r="F53" s="45"/>
      <c r="G53" s="45"/>
      <c r="H53" s="34"/>
      <c r="P53" s="45"/>
      <c r="Q53" s="45"/>
      <c r="R53" s="45"/>
      <c r="S53" s="45"/>
      <c r="T53" s="45"/>
      <c r="U53" s="45"/>
      <c r="V53" s="45"/>
    </row>
    <row r="54" spans="2:22">
      <c r="B54" s="2"/>
      <c r="C54" s="45"/>
      <c r="D54" s="45"/>
      <c r="E54" s="45"/>
      <c r="F54" s="45"/>
      <c r="G54" s="45"/>
      <c r="H54" s="34"/>
      <c r="P54" s="45"/>
      <c r="Q54" s="45"/>
      <c r="R54" s="45"/>
      <c r="S54" s="45"/>
      <c r="T54" s="45"/>
      <c r="U54" s="45"/>
      <c r="V54" s="45"/>
    </row>
    <row r="55" spans="2:7">
      <c r="B55" s="2"/>
      <c r="D55" s="45"/>
      <c r="E55" s="45"/>
      <c r="F55" s="45"/>
      <c r="G55" s="45"/>
    </row>
    <row r="56" spans="2:22">
      <c r="B56" s="2"/>
      <c r="P56" s="45"/>
      <c r="Q56" s="45"/>
      <c r="R56" s="45"/>
      <c r="S56" s="45"/>
      <c r="T56" s="45"/>
      <c r="U56" s="45"/>
      <c r="V56" s="45"/>
    </row>
    <row r="57" spans="2:7">
      <c r="B57" s="2"/>
      <c r="D57" s="45"/>
      <c r="E57" s="45"/>
      <c r="F57" s="45"/>
      <c r="G57" s="45"/>
    </row>
    <row r="58" spans="2:2">
      <c r="B58" s="2"/>
    </row>
    <row r="59" spans="2:2">
      <c r="B59" s="2"/>
    </row>
    <row r="60" spans="2:2">
      <c r="B60" s="2"/>
    </row>
    <row r="61" spans="2:8">
      <c r="B61" s="2"/>
      <c r="C61" s="45"/>
      <c r="D61" s="45"/>
      <c r="E61" s="45"/>
      <c r="F61" s="45"/>
      <c r="G61" s="45"/>
      <c r="H61" s="34"/>
    </row>
    <row r="62" spans="2:8">
      <c r="B62" s="2"/>
      <c r="C62" s="45"/>
      <c r="D62" s="45"/>
      <c r="E62" s="45"/>
      <c r="F62" s="45"/>
      <c r="G62" s="45"/>
      <c r="H62" s="34"/>
    </row>
    <row r="82" spans="2:2">
      <c r="B82" s="2" t="s">
        <v>33</v>
      </c>
    </row>
    <row r="83" spans="2:2">
      <c r="B83" s="47" t="s">
        <v>157</v>
      </c>
    </row>
  </sheetData>
  <mergeCells count="1">
    <mergeCell ref="B2:N2"/>
  </mergeCell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P52"/>
  <sheetViews>
    <sheetView showGridLines="0" topLeftCell="B12" workbookViewId="0">
      <selection activeCell="K40" sqref="K40"/>
    </sheetView>
  </sheetViews>
  <sheetFormatPr defaultColWidth="9" defaultRowHeight="13.5"/>
  <cols>
    <col min="3" max="3" width="39" customWidth="1"/>
    <col min="4" max="4" width="12.625" style="1"/>
    <col min="5" max="11" width="13.75" style="1"/>
    <col min="12" max="16" width="12.625" style="1"/>
  </cols>
  <sheetData>
    <row r="3" spans="3:16">
      <c r="C3" s="2"/>
      <c r="D3" s="1">
        <v>2018</v>
      </c>
      <c r="E3" s="1">
        <v>2019</v>
      </c>
      <c r="F3" s="1">
        <v>2020</v>
      </c>
      <c r="G3" s="1">
        <v>2021</v>
      </c>
      <c r="H3" s="1">
        <v>2022</v>
      </c>
      <c r="I3" s="1">
        <v>2023</v>
      </c>
      <c r="J3" s="1">
        <v>2024</v>
      </c>
      <c r="K3" s="1">
        <v>2025</v>
      </c>
      <c r="L3" s="1">
        <v>2026</v>
      </c>
      <c r="M3" s="1">
        <v>2027</v>
      </c>
      <c r="N3" s="1">
        <v>2028</v>
      </c>
      <c r="O3" s="1">
        <v>2029</v>
      </c>
      <c r="P3" s="1">
        <v>2030</v>
      </c>
    </row>
    <row r="4" ht="14.25" spans="3:16">
      <c r="C4" s="3" t="s">
        <v>147</v>
      </c>
      <c r="D4" s="4">
        <f>IS!G26</f>
        <v>1.31</v>
      </c>
      <c r="E4" s="4">
        <f>IS!H26</f>
        <v>0.184624247999998</v>
      </c>
      <c r="F4" s="4">
        <f>IS!I26</f>
        <v>0.677207176305</v>
      </c>
      <c r="G4" s="4">
        <f>IS!J26</f>
        <v>1.3088365314888</v>
      </c>
      <c r="H4" s="4">
        <f>IS!K26</f>
        <v>2.70618294475488</v>
      </c>
      <c r="I4" s="4">
        <f>IS!L26</f>
        <v>4.44917713563092</v>
      </c>
      <c r="J4" s="4">
        <f>IS!M26</f>
        <v>6.44617632047515</v>
      </c>
      <c r="K4" s="4">
        <f>IS!N26</f>
        <v>8.27251425233552</v>
      </c>
      <c r="L4" s="1">
        <f>IS!O26</f>
        <v>0</v>
      </c>
      <c r="M4" s="1">
        <f>IS!P26</f>
        <v>0</v>
      </c>
      <c r="N4" s="1">
        <f>IS!Q26</f>
        <v>0</v>
      </c>
      <c r="O4" s="1">
        <f>IS!R26</f>
        <v>0</v>
      </c>
      <c r="P4" s="1">
        <f>IS!S26</f>
        <v>0</v>
      </c>
    </row>
    <row r="5" ht="14.25" spans="3:11">
      <c r="C5" s="3" t="s">
        <v>277</v>
      </c>
      <c r="D5" s="4">
        <f>IS!G23</f>
        <v>0.34</v>
      </c>
      <c r="E5" s="4">
        <f>IS!H23</f>
        <v>0.25</v>
      </c>
      <c r="F5" s="4">
        <f>IS!I23</f>
        <v>0.225735725435</v>
      </c>
      <c r="G5" s="4">
        <f>IS!J23</f>
        <v>0.4362788438296</v>
      </c>
      <c r="H5" s="4">
        <f>IS!K23</f>
        <v>0.90206098158496</v>
      </c>
      <c r="I5" s="4">
        <f>IS!L23</f>
        <v>1.48305904521031</v>
      </c>
      <c r="J5" s="4">
        <f>IS!M23</f>
        <v>2.14872544015838</v>
      </c>
      <c r="K5" s="4">
        <f>IS!N23</f>
        <v>2.75750475077851</v>
      </c>
    </row>
    <row r="6" ht="14.25" spans="3:11">
      <c r="C6" s="3" t="s">
        <v>278</v>
      </c>
      <c r="D6" s="4">
        <f>IS!G12</f>
        <v>0.06</v>
      </c>
      <c r="E6" s="4">
        <f>IS!H12</f>
        <v>0.115211152</v>
      </c>
      <c r="F6" s="4">
        <f>IS!I12</f>
        <v>0.24855500726</v>
      </c>
      <c r="G6" s="4">
        <f>IS!J12</f>
        <v>0.3894424228016</v>
      </c>
      <c r="H6" s="4">
        <f>IS!K12</f>
        <v>0.425410348802152</v>
      </c>
      <c r="I6" s="4">
        <f>IS!L12</f>
        <v>0.342660272325615</v>
      </c>
      <c r="J6" s="4">
        <f>IS!M12</f>
        <v>0.218359376192908</v>
      </c>
      <c r="K6" s="4">
        <f>IS!N12</f>
        <v>0.129132395661124</v>
      </c>
    </row>
    <row r="7" ht="14.25" spans="3:11">
      <c r="C7" s="3" t="s">
        <v>279</v>
      </c>
      <c r="D7" s="4">
        <f>D4+D5+D6</f>
        <v>1.71</v>
      </c>
      <c r="E7" s="4">
        <f t="shared" ref="E7:K7" si="0">E4+E5+E6</f>
        <v>0.549835399999998</v>
      </c>
      <c r="F7" s="4">
        <f t="shared" si="0"/>
        <v>1.151497909</v>
      </c>
      <c r="G7" s="4">
        <f t="shared" si="0"/>
        <v>2.13455779812</v>
      </c>
      <c r="H7" s="4">
        <f t="shared" si="0"/>
        <v>4.03365427514199</v>
      </c>
      <c r="I7" s="4">
        <f t="shared" si="0"/>
        <v>6.27489645316684</v>
      </c>
      <c r="J7" s="4">
        <f t="shared" si="0"/>
        <v>8.81326113682644</v>
      </c>
      <c r="K7" s="4">
        <f t="shared" si="0"/>
        <v>11.1591513987752</v>
      </c>
    </row>
    <row r="8" ht="14.25" spans="3:11">
      <c r="C8" s="3" t="s">
        <v>280</v>
      </c>
      <c r="E8" s="5">
        <f>E7/D7-1</f>
        <v>-0.678458830409358</v>
      </c>
      <c r="F8" s="5">
        <f t="shared" ref="F8:K8" si="1">F7/E7-1</f>
        <v>1.09425931651546</v>
      </c>
      <c r="G8" s="5">
        <f t="shared" si="1"/>
        <v>0.853722687150791</v>
      </c>
      <c r="H8" s="5">
        <f t="shared" si="1"/>
        <v>0.889690819660454</v>
      </c>
      <c r="I8" s="5">
        <f t="shared" si="1"/>
        <v>0.555635665613894</v>
      </c>
      <c r="J8" s="5">
        <f t="shared" si="1"/>
        <v>0.404526943608531</v>
      </c>
      <c r="K8" s="5">
        <f t="shared" si="1"/>
        <v>0.266177323640888</v>
      </c>
    </row>
    <row r="9" ht="14.25" spans="3:11">
      <c r="C9" s="3" t="s">
        <v>281</v>
      </c>
      <c r="D9" s="4">
        <f>D7*利润表!F29</f>
        <v>0.358888888888889</v>
      </c>
      <c r="E9" s="4">
        <f>E7*利润表!G29</f>
        <v>0.13745885</v>
      </c>
      <c r="F9" s="4">
        <f>F7*利润表!H29</f>
        <v>0.28787447725</v>
      </c>
      <c r="G9" s="4">
        <f>G7*利润表!I29</f>
        <v>0.53363944953</v>
      </c>
      <c r="H9" s="4">
        <f>H7*利润表!J29</f>
        <v>1.0084135687855</v>
      </c>
      <c r="I9" s="4">
        <f>I7*利润表!K29</f>
        <v>1.56872411329171</v>
      </c>
      <c r="J9" s="4">
        <f>J7*利润表!L29</f>
        <v>2.20331528420661</v>
      </c>
      <c r="K9" s="4">
        <f>K7*利润表!M29</f>
        <v>2.78978784969379</v>
      </c>
    </row>
    <row r="10" ht="14.25" spans="3:11">
      <c r="C10" s="3" t="s">
        <v>282</v>
      </c>
      <c r="D10" s="4">
        <f>D7-D9</f>
        <v>1.35111111111111</v>
      </c>
      <c r="E10" s="4">
        <f t="shared" ref="E10:K10" si="2">E7-E9</f>
        <v>0.412376549999999</v>
      </c>
      <c r="F10" s="4">
        <f t="shared" si="2"/>
        <v>0.86362343175</v>
      </c>
      <c r="G10" s="4">
        <f t="shared" si="2"/>
        <v>1.60091834859</v>
      </c>
      <c r="H10" s="4">
        <f t="shared" si="2"/>
        <v>3.02524070635649</v>
      </c>
      <c r="I10" s="4">
        <f t="shared" si="2"/>
        <v>4.70617233987513</v>
      </c>
      <c r="J10" s="4">
        <f t="shared" si="2"/>
        <v>6.60994585261983</v>
      </c>
      <c r="K10" s="4">
        <f t="shared" si="2"/>
        <v>8.36936354908137</v>
      </c>
    </row>
    <row r="11" ht="14.25" spans="3:11">
      <c r="C11" s="3" t="s">
        <v>283</v>
      </c>
      <c r="D11" s="4">
        <f>CS!G6</f>
        <v>0.09</v>
      </c>
      <c r="E11" s="4">
        <f>CS!H6</f>
        <v>0.10384</v>
      </c>
      <c r="F11" s="4">
        <f>CS!I6</f>
        <v>0.31470208</v>
      </c>
      <c r="G11" s="4">
        <f>CS!J6</f>
        <v>0.50700829696</v>
      </c>
      <c r="H11" s="4">
        <f>CS!K6</f>
        <v>0.81439156682752</v>
      </c>
      <c r="I11" s="4">
        <f>CS!L6</f>
        <v>1.0507251089467</v>
      </c>
      <c r="J11" s="4">
        <f>CS!M6</f>
        <v>1.13426129935939</v>
      </c>
      <c r="K11" s="4">
        <f>CS!N6</f>
        <v>1.21044630501576</v>
      </c>
    </row>
    <row r="12" ht="14.25" spans="3:11">
      <c r="C12" s="3" t="s">
        <v>284</v>
      </c>
      <c r="D12" s="4">
        <f>CS!G7</f>
        <v>0.02</v>
      </c>
      <c r="E12" s="4">
        <f>CS!H7</f>
        <v>0.205</v>
      </c>
      <c r="F12" s="4">
        <f>CS!I7</f>
        <v>0.40375</v>
      </c>
      <c r="G12" s="4">
        <f>CS!J7</f>
        <v>0.6778125</v>
      </c>
      <c r="H12" s="4">
        <f>CS!K7</f>
        <v>0.508359375</v>
      </c>
      <c r="I12" s="4">
        <f>CS!L7</f>
        <v>0.38126953125</v>
      </c>
      <c r="J12" s="4">
        <f>CS!M7</f>
        <v>0.2859521484375</v>
      </c>
      <c r="K12" s="4">
        <f>CS!N7</f>
        <v>0.214464111328125</v>
      </c>
    </row>
    <row r="13" ht="14.25" spans="3:11">
      <c r="C13" s="3" t="s">
        <v>285</v>
      </c>
      <c r="D13" s="4">
        <f>BS!F53</f>
        <v>0</v>
      </c>
      <c r="E13" s="4">
        <f>CS!H42</f>
        <v>0.347385651741294</v>
      </c>
      <c r="F13" s="4">
        <f>CS!I42</f>
        <v>-0.289822121173188</v>
      </c>
      <c r="G13" s="4">
        <f>CS!J42</f>
        <v>-0.791711588331952</v>
      </c>
      <c r="H13" s="4">
        <f>CS!K42</f>
        <v>-0.957909212488122</v>
      </c>
      <c r="I13" s="4">
        <f>CS!L42</f>
        <v>-1.11102866394515</v>
      </c>
      <c r="J13" s="4">
        <f>CS!M42</f>
        <v>-1.42789089505821</v>
      </c>
      <c r="K13" s="4">
        <f>CS!N42</f>
        <v>-1.44832767194606</v>
      </c>
    </row>
    <row r="14" ht="14.25" spans="3:11">
      <c r="C14" s="3" t="s">
        <v>286</v>
      </c>
      <c r="D14" s="4">
        <f>资本开支!F7</f>
        <v>0.00999999999999979</v>
      </c>
      <c r="E14" s="4">
        <f>资本开支!G7</f>
        <v>2.06</v>
      </c>
      <c r="F14" s="4">
        <f>资本开支!H7</f>
        <v>3.5</v>
      </c>
      <c r="G14" s="4">
        <f>资本开支!I7</f>
        <v>4</v>
      </c>
      <c r="H14" s="4">
        <f>资本开支!J7</f>
        <v>4</v>
      </c>
      <c r="I14" s="4">
        <f>资本开支!K7-BS!K52</f>
        <v>4.88214394966481</v>
      </c>
      <c r="J14" s="4">
        <f>资本开支!L7-BS!L52</f>
        <v>4.07572708761011</v>
      </c>
      <c r="K14" s="4">
        <f>资本开支!M7-BS!M52</f>
        <v>3.47467115045406</v>
      </c>
    </row>
    <row r="15" ht="14.25" spans="3:16">
      <c r="C15" s="3" t="s">
        <v>287</v>
      </c>
      <c r="D15" s="4">
        <f>D10+D11+D12-D13-D14</f>
        <v>1.45111111111111</v>
      </c>
      <c r="E15" s="4">
        <f t="shared" ref="E15:K15" si="3">E10+E11+E12-E13-E14</f>
        <v>-1.68616910174129</v>
      </c>
      <c r="F15" s="4">
        <f t="shared" si="3"/>
        <v>-1.62810236707681</v>
      </c>
      <c r="G15" s="4">
        <f t="shared" si="3"/>
        <v>-0.422549266118049</v>
      </c>
      <c r="H15" s="4">
        <f t="shared" si="3"/>
        <v>1.30590086067214</v>
      </c>
      <c r="I15" s="4">
        <f t="shared" si="3"/>
        <v>2.36705169435217</v>
      </c>
      <c r="J15" s="4">
        <f t="shared" si="3"/>
        <v>5.38232310786482</v>
      </c>
      <c r="K15" s="4">
        <f t="shared" si="3"/>
        <v>7.76793048691725</v>
      </c>
      <c r="L15" s="4">
        <f>K15*(1+L16)</f>
        <v>8.85544075508567</v>
      </c>
      <c r="M15" s="4">
        <f>L15*(1+M16)</f>
        <v>9.74098483059424</v>
      </c>
      <c r="N15" s="4">
        <f>M15*(1+N16)</f>
        <v>10.5202636170418</v>
      </c>
      <c r="O15" s="4">
        <f>N15*(1+O16)</f>
        <v>11.1514794340643</v>
      </c>
      <c r="P15" s="4">
        <f>O15*(1+P16)</f>
        <v>11.5975386114269</v>
      </c>
    </row>
    <row r="16" ht="14.25" spans="3:16">
      <c r="C16" s="6" t="s">
        <v>280</v>
      </c>
      <c r="E16" s="7">
        <f>E15/D15-1</f>
        <v>-2.16198483274668</v>
      </c>
      <c r="F16" s="7">
        <f t="shared" ref="F16:K16" si="4">F15/E15-1</f>
        <v>-0.0344370766873371</v>
      </c>
      <c r="G16" s="7">
        <f t="shared" si="4"/>
        <v>-0.740465173036559</v>
      </c>
      <c r="H16" s="7">
        <f t="shared" si="4"/>
        <v>-4.09052923619871</v>
      </c>
      <c r="I16" s="7">
        <f t="shared" si="4"/>
        <v>0.812581464364662</v>
      </c>
      <c r="J16" s="7">
        <f t="shared" si="4"/>
        <v>1.27385110376218</v>
      </c>
      <c r="K16" s="7">
        <f t="shared" si="4"/>
        <v>0.443230057215723</v>
      </c>
      <c r="L16" s="29">
        <v>0.14</v>
      </c>
      <c r="M16" s="29">
        <v>0.1</v>
      </c>
      <c r="N16" s="29">
        <v>0.08</v>
      </c>
      <c r="O16" s="29">
        <v>0.06</v>
      </c>
      <c r="P16" s="29">
        <v>0.04</v>
      </c>
    </row>
    <row r="20" ht="14.25" spans="3:4">
      <c r="C20" s="8" t="s">
        <v>288</v>
      </c>
      <c r="D20" s="8"/>
    </row>
    <row r="21" ht="14.25" spans="3:4">
      <c r="C21" s="6" t="s">
        <v>289</v>
      </c>
      <c r="D21" s="9">
        <f>D23*D28+D24*(1-D28)</f>
        <v>0.1489544</v>
      </c>
    </row>
    <row r="22" ht="14.25" spans="3:4">
      <c r="C22" s="6" t="s">
        <v>290</v>
      </c>
      <c r="D22" s="9">
        <v>0.02</v>
      </c>
    </row>
    <row r="23" ht="14.25" spans="3:4">
      <c r="C23" s="6" t="s">
        <v>291</v>
      </c>
      <c r="D23" s="9">
        <v>0.0282</v>
      </c>
    </row>
    <row r="24" ht="14.25" spans="3:4">
      <c r="C24" s="6" t="s">
        <v>292</v>
      </c>
      <c r="D24" s="9">
        <f>D25+D27*(D26-D25)</f>
        <v>0.170264</v>
      </c>
    </row>
    <row r="25" ht="14.25" spans="3:4">
      <c r="C25" s="6" t="s">
        <v>293</v>
      </c>
      <c r="D25" s="9">
        <v>0.0317</v>
      </c>
    </row>
    <row r="26" ht="14.25" spans="3:11">
      <c r="C26" s="6" t="s">
        <v>294</v>
      </c>
      <c r="D26" s="9">
        <v>0.16</v>
      </c>
      <c r="E26" s="10" t="s">
        <v>295</v>
      </c>
      <c r="F26" s="10"/>
      <c r="G26" s="10"/>
      <c r="H26" s="10"/>
      <c r="I26" s="10"/>
      <c r="J26" s="10"/>
      <c r="K26" s="10"/>
    </row>
    <row r="27" ht="14.25" spans="3:4">
      <c r="C27" s="6" t="s">
        <v>296</v>
      </c>
      <c r="D27" s="11">
        <v>1.08</v>
      </c>
    </row>
    <row r="28" ht="14.25" spans="3:4">
      <c r="C28" s="6" t="s">
        <v>297</v>
      </c>
      <c r="D28" s="9">
        <v>0.15</v>
      </c>
    </row>
    <row r="31" ht="14.25" spans="3:4">
      <c r="C31" s="8" t="s">
        <v>298</v>
      </c>
      <c r="D31" s="12"/>
    </row>
    <row r="32" ht="14.25" spans="3:16">
      <c r="C32" s="6" t="s">
        <v>299</v>
      </c>
      <c r="D32" s="6"/>
      <c r="E32" s="1">
        <f>1/(1+$D$21)^(E3-$E$3)</f>
        <v>1</v>
      </c>
      <c r="F32" s="13">
        <f>1/(1+$D$21)^(F3-$E$3)</f>
        <v>0.87035656071294</v>
      </c>
      <c r="G32" s="13">
        <f>1/(1+$D$21)^(G3-$E$3)</f>
        <v>0.757520542776058</v>
      </c>
      <c r="H32" s="13">
        <f>1/(1+$D$21)^(H3-$E$3)</f>
        <v>0.65931297427997</v>
      </c>
      <c r="I32" s="13">
        <f>1/(1+$D$21)^(I3-$E$3)</f>
        <v>0.573837372727734</v>
      </c>
      <c r="J32" s="13">
        <f>1/(1+$D$21)^(J3-$E$3)</f>
        <v>0.49944312213586</v>
      </c>
      <c r="K32" s="13">
        <f>1/(1+$D$21)^(K3-$E$3)</f>
        <v>0.4346935980539</v>
      </c>
      <c r="L32" s="13">
        <f>1/(1+$D$21)^(L3-$E$3)</f>
        <v>0.378338424966126</v>
      </c>
      <c r="M32" s="13">
        <f>1/(1+$D$21)^(M3-$E$3)</f>
        <v>0.329289330339068</v>
      </c>
      <c r="N32" s="13">
        <f>1/(1+$D$21)^(N3-$E$3)</f>
        <v>0.286599129033379</v>
      </c>
      <c r="O32" s="13">
        <f>1/(1+$D$21)^(O3-$E$3)</f>
        <v>0.249443432248816</v>
      </c>
      <c r="P32" s="13">
        <f>1/(1+$D$21)^(P3-$E$3)</f>
        <v>0.217104727784511</v>
      </c>
    </row>
    <row r="33" ht="14.25" spans="3:16">
      <c r="C33" s="6" t="s">
        <v>300</v>
      </c>
      <c r="D33" s="6"/>
      <c r="E33" s="4">
        <f t="shared" ref="E33:P33" si="5">E15*E32</f>
        <v>-1.68616910174129</v>
      </c>
      <c r="F33" s="4">
        <f t="shared" si="5"/>
        <v>-1.41702957669757</v>
      </c>
      <c r="G33" s="4">
        <f t="shared" si="5"/>
        <v>-0.32008974941937</v>
      </c>
      <c r="H33" s="4">
        <f t="shared" si="5"/>
        <v>0.860997380564519</v>
      </c>
      <c r="I33" s="4">
        <f t="shared" si="5"/>
        <v>1.35830272539778</v>
      </c>
      <c r="J33" s="4">
        <f t="shared" si="5"/>
        <v>2.68816425733599</v>
      </c>
      <c r="K33" s="4">
        <f t="shared" si="5"/>
        <v>3.37666965279065</v>
      </c>
      <c r="L33" s="4">
        <f t="shared" si="5"/>
        <v>3.35035350765995</v>
      </c>
      <c r="M33" s="4">
        <f t="shared" si="5"/>
        <v>3.2076023717094</v>
      </c>
      <c r="N33" s="4">
        <f t="shared" si="5"/>
        <v>3.01509838984572</v>
      </c>
      <c r="O33" s="4">
        <f t="shared" si="5"/>
        <v>2.78166330468508</v>
      </c>
      <c r="P33" s="4">
        <f t="shared" si="5"/>
        <v>2.51788046320418</v>
      </c>
    </row>
    <row r="34" ht="14.25" spans="3:5">
      <c r="C34" s="6" t="s">
        <v>301</v>
      </c>
      <c r="D34" s="6"/>
      <c r="E34" s="14">
        <f>SUM(E33:P33)</f>
        <v>19.733443625335</v>
      </c>
    </row>
    <row r="35" ht="14.25" spans="3:5">
      <c r="C35" s="6" t="s">
        <v>302</v>
      </c>
      <c r="D35" s="6"/>
      <c r="E35" s="14">
        <f>P15/(D21-D22)*P32</f>
        <v>19.5253551891535</v>
      </c>
    </row>
    <row r="36" ht="14.25" spans="3:5">
      <c r="C36" s="6" t="s">
        <v>303</v>
      </c>
      <c r="D36" s="6"/>
      <c r="E36" s="14">
        <f>E34+E35</f>
        <v>39.2587988144885</v>
      </c>
    </row>
    <row r="37" ht="14.25" spans="3:5">
      <c r="C37" s="6" t="s">
        <v>304</v>
      </c>
      <c r="D37" s="6"/>
      <c r="E37" s="14">
        <f>BS!G4-BS!G23-BS!G31</f>
        <v>1.99895486063541</v>
      </c>
    </row>
    <row r="38" ht="14.25" spans="3:5">
      <c r="C38" s="6" t="s">
        <v>305</v>
      </c>
      <c r="D38" s="6"/>
      <c r="E38" s="14">
        <f>BS!G43</f>
        <v>0</v>
      </c>
    </row>
    <row r="39" ht="14.25" spans="1:5">
      <c r="A39" s="1" t="s">
        <v>306</v>
      </c>
      <c r="B39" s="1"/>
      <c r="C39" s="6" t="s">
        <v>307</v>
      </c>
      <c r="D39" s="6"/>
      <c r="E39" s="14">
        <f>(E34+P15/(D21-D22)*P32-E37-E38)</f>
        <v>37.2598439538531</v>
      </c>
    </row>
    <row r="40" ht="14.25" spans="3:5">
      <c r="C40" s="6"/>
      <c r="D40" s="6"/>
      <c r="E40" s="14"/>
    </row>
    <row r="41" ht="14.25" spans="3:5">
      <c r="C41" s="6" t="s">
        <v>30</v>
      </c>
      <c r="D41" s="6"/>
      <c r="E41" s="1">
        <v>4.11</v>
      </c>
    </row>
    <row r="42" ht="14.25" spans="3:5">
      <c r="C42" s="6" t="s">
        <v>308</v>
      </c>
      <c r="D42" s="6"/>
      <c r="E42" s="4">
        <f>E39/E41</f>
        <v>9.06565546322461</v>
      </c>
    </row>
    <row r="45" spans="3:8">
      <c r="C45" s="15" t="s">
        <v>24</v>
      </c>
      <c r="D45" s="16"/>
      <c r="E45" s="17"/>
      <c r="F45" s="16"/>
      <c r="G45" s="16"/>
      <c r="H45" s="16"/>
    </row>
    <row r="46" ht="14.25" spans="3:8">
      <c r="C46" s="18" t="s">
        <v>309</v>
      </c>
      <c r="D46" s="19"/>
      <c r="E46" s="20"/>
      <c r="F46" s="19"/>
      <c r="G46" s="19"/>
      <c r="H46" s="19"/>
    </row>
    <row r="47" ht="14.25" spans="3:9">
      <c r="C47" s="21">
        <f>F42</f>
        <v>0</v>
      </c>
      <c r="D47" s="22">
        <v>0.02</v>
      </c>
      <c r="E47" s="22">
        <v>0.025</v>
      </c>
      <c r="F47" s="22">
        <v>0.03</v>
      </c>
      <c r="G47" s="22">
        <v>0.035</v>
      </c>
      <c r="H47" s="22">
        <v>0.04</v>
      </c>
      <c r="I47" s="30"/>
    </row>
    <row r="48" ht="14.25" spans="3:8">
      <c r="C48" s="23">
        <v>0.13</v>
      </c>
      <c r="D48" s="24">
        <f>($E$34+$P$15/($C$48-D47)*$P$32-$E$37-$E$38)/$E$41</f>
        <v>9.88426062225423</v>
      </c>
      <c r="E48" s="24">
        <f>($E$34+$P$15/($C$48-E47)*$P$32-$E$37-$E$38)/$E$41</f>
        <v>10.1494653771235</v>
      </c>
      <c r="F48" s="25">
        <f>($E$34+$P$15/($C$48-F47)*$P$32-$E$37-$E$38)/$E$41</f>
        <v>10.4411906074797</v>
      </c>
      <c r="G48" s="25">
        <f>($E$34+$P$15/($C$48-G47)*$P$32-$E$37-$E$38)/$E$41</f>
        <v>10.7636237568207</v>
      </c>
      <c r="H48" s="25">
        <f>($E$34+$P$15/($C$48-H47)*$P$32-$E$37-$E$38)/$E$41</f>
        <v>11.1218828116441</v>
      </c>
    </row>
    <row r="49" ht="14.25" spans="3:8">
      <c r="C49" s="23">
        <v>0.14</v>
      </c>
      <c r="D49" s="24">
        <f>($E$34+$P$15/($C$49-D47)*$P$32-$E$37-$E$38)/$E$41</f>
        <v>9.42015230123303</v>
      </c>
      <c r="E49" s="24">
        <f>($E$34+$P$15/($C$49-E47)*$P$32-$E$37-$E$38)/$E$41</f>
        <v>9.64211715041708</v>
      </c>
      <c r="F49" s="25">
        <f>($E$34+$P$15/($C$49-F47)*$P$32-$E$37-$E$38)/$E$41</f>
        <v>9.88426062225423</v>
      </c>
      <c r="G49" s="25">
        <f>($E$34+$P$15/($C$49-G47)*$P$32-$E$37-$E$38)/$E$41</f>
        <v>10.1494653771235</v>
      </c>
      <c r="H49" s="25">
        <f>($E$34+$P$15/($C$49-H47)*$P$32-$E$37-$E$38)/$E$41</f>
        <v>10.4411906074797</v>
      </c>
    </row>
    <row r="50" ht="14.25" spans="3:8">
      <c r="C50" s="23">
        <v>0.149</v>
      </c>
      <c r="D50" s="26">
        <f>($E$34+$P$15/($C$50-D47)*$P$32-$E$37-$E$38)/$E$41</f>
        <v>9.06397614789119</v>
      </c>
      <c r="E50" s="27">
        <f>($E$34+$P$15/($C$50-E47)*$P$32-$E$37-$E$38)/$E$41</f>
        <v>9.25546870345132</v>
      </c>
      <c r="F50" s="25">
        <f>($E$34+$P$15/($C$50-F47)*$P$32-$E$37-$E$38)/$E$41</f>
        <v>9.46305307040306</v>
      </c>
      <c r="G50" s="25">
        <f>($E$34+$P$15/($C$50-G47)*$P$32-$E$37-$E$38)/$E$41</f>
        <v>9.68884659235057</v>
      </c>
      <c r="H50" s="25">
        <f>($E$34+$P$15/($C$50-H47)*$P$32-$E$37-$E$38)/$E$41</f>
        <v>9.93535511631161</v>
      </c>
    </row>
    <row r="51" ht="14.25" spans="3:8">
      <c r="C51" s="23">
        <v>0.16</v>
      </c>
      <c r="D51" s="24">
        <f>($E$34+$P$15/($C$51-D47)*$P$32-$E$37-$E$38)/$E$41</f>
        <v>8.69083922534259</v>
      </c>
      <c r="E51" s="24">
        <f>($E$34+$P$15/($C$51-E47)*$P$32-$E$37-$E$38)/$E$41</f>
        <v>8.85290879776269</v>
      </c>
      <c r="F51" s="25">
        <f>($E$34+$P$15/($C$51-F47)*$P$32-$E$37-$E$38)/$E$41</f>
        <v>9.02744526036895</v>
      </c>
      <c r="G51" s="25">
        <f>($E$34+$P$15/($C$51-G47)*$P$32-$E$37-$E$38)/$E$41</f>
        <v>9.21594463998371</v>
      </c>
      <c r="H51" s="25">
        <f>($E$34+$P$15/($C$51-H47)*$P$32-$E$37-$E$38)/$E$41</f>
        <v>9.42015230123304</v>
      </c>
    </row>
    <row r="52" ht="14.25" spans="3:8">
      <c r="C52" s="28">
        <v>0.17</v>
      </c>
      <c r="D52" s="24">
        <f>($E$34+$P$15/($C$52-D47)*$P$32-$E$37-$E$38)/$E$41</f>
        <v>8.39911399498641</v>
      </c>
      <c r="E52" s="24">
        <f>($E$34+$P$15/($C$52-E47)*$P$32-$E$37-$E$38)/$E$41</f>
        <v>8.53994686481353</v>
      </c>
      <c r="F52" s="25">
        <f>($E$34+$P$15/($C$52-F47)*$P$32-$E$37-$E$38)/$E$41</f>
        <v>8.69083922534259</v>
      </c>
      <c r="G52" s="25">
        <f>($E$34+$P$15/($C$52-G47)*$P$32-$E$37-$E$38)/$E$41</f>
        <v>8.85290879776269</v>
      </c>
      <c r="H52" s="25">
        <f>($E$34+$P$15/($C$52-H47)*$P$32-$E$37-$E$38)/$E$41</f>
        <v>9.02744526036895</v>
      </c>
    </row>
  </sheetData>
  <mergeCells count="13">
    <mergeCell ref="C20:D20"/>
    <mergeCell ref="E26:K26"/>
    <mergeCell ref="C32:D32"/>
    <mergeCell ref="C33:D33"/>
    <mergeCell ref="C34:D34"/>
    <mergeCell ref="C35:D35"/>
    <mergeCell ref="C36:D36"/>
    <mergeCell ref="C37:D37"/>
    <mergeCell ref="C39:D39"/>
    <mergeCell ref="C41:D41"/>
    <mergeCell ref="C42:D42"/>
    <mergeCell ref="C45:H45"/>
    <mergeCell ref="D46:H46"/>
  </mergeCells>
  <pageMargins left="0.75" right="0.75" top="1" bottom="1" header="0.5" footer="0.5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1048408"/>
  <sheetViews>
    <sheetView showGridLines="0" workbookViewId="0">
      <pane xSplit="1" ySplit="2" topLeftCell="B3" activePane="bottomRight" state="frozen"/>
      <selection/>
      <selection pane="topRight"/>
      <selection pane="bottomLeft"/>
      <selection pane="bottomRight" activeCell="C23" sqref="C23"/>
    </sheetView>
  </sheetViews>
  <sheetFormatPr defaultColWidth="9" defaultRowHeight="14.25"/>
  <cols>
    <col min="2" max="2" width="37.75" style="2" customWidth="1"/>
    <col min="3" max="3" width="21.5" style="34" customWidth="1"/>
    <col min="4" max="4" width="12.75" style="34" customWidth="1"/>
    <col min="5" max="5" width="16"/>
    <col min="6" max="6" width="13.125" customWidth="1"/>
    <col min="7" max="9" width="16"/>
    <col min="10" max="10" width="1.625" customWidth="1"/>
  </cols>
  <sheetData>
    <row r="1" ht="13.5" spans="2:4">
      <c r="B1"/>
      <c r="C1"/>
      <c r="D1"/>
    </row>
    <row r="2" ht="20" customHeight="1" spans="2:9">
      <c r="B2" s="97" t="s">
        <v>21</v>
      </c>
      <c r="C2" s="98"/>
      <c r="D2" s="98"/>
      <c r="E2" s="98"/>
      <c r="F2" s="98"/>
      <c r="G2" s="98"/>
      <c r="H2" s="98"/>
      <c r="I2" s="123"/>
    </row>
    <row r="3" s="80" customFormat="1" ht="20" customHeight="1" spans="2:10">
      <c r="B3" s="99"/>
      <c r="C3" s="99"/>
      <c r="D3" s="99"/>
      <c r="E3" s="99"/>
      <c r="F3" s="99"/>
      <c r="G3" s="99"/>
      <c r="H3" s="99"/>
      <c r="I3" s="99"/>
      <c r="J3"/>
    </row>
    <row r="4" ht="20" customHeight="1" spans="2:9">
      <c r="B4" s="100" t="s">
        <v>22</v>
      </c>
      <c r="C4" s="101"/>
      <c r="D4" s="101"/>
      <c r="E4" s="102"/>
      <c r="F4" s="103"/>
      <c r="G4" s="103"/>
      <c r="H4" s="103"/>
      <c r="I4" s="103"/>
    </row>
    <row r="5" ht="20" customHeight="1" spans="2:9">
      <c r="B5" s="104" t="str">
        <f>[2]DCF估值!C20</f>
        <v>适用折现率：</v>
      </c>
      <c r="C5" s="105">
        <f>DCF估值!D21</f>
        <v>0.1489544</v>
      </c>
      <c r="D5" s="103" t="str">
        <f>[2]DCF估值!C24</f>
        <v>无风险报酬率</v>
      </c>
      <c r="E5" s="106">
        <f>DCF估值!D25</f>
        <v>0.0317</v>
      </c>
      <c r="F5" s="103"/>
      <c r="G5" s="103"/>
      <c r="H5" s="103"/>
      <c r="I5" s="103"/>
    </row>
    <row r="6" ht="20" customHeight="1" spans="2:9">
      <c r="B6" s="104" t="str">
        <f>[2]DCF估值!C21</f>
        <v>永续增长率g</v>
      </c>
      <c r="C6" s="105">
        <f>DCF估值!D22</f>
        <v>0.02</v>
      </c>
      <c r="D6" s="103" t="str">
        <f>[2]DCF估值!C25</f>
        <v>风险补偿率</v>
      </c>
      <c r="E6" s="106">
        <f>DCF估值!D26</f>
        <v>0.16</v>
      </c>
      <c r="F6" s="103"/>
      <c r="G6" s="103"/>
      <c r="H6" s="103"/>
      <c r="I6" s="103"/>
    </row>
    <row r="7" ht="20" customHeight="1" spans="2:9">
      <c r="B7" s="104" t="str">
        <f>[2]DCF估值!C22</f>
        <v>税后债务成本率</v>
      </c>
      <c r="C7" s="105">
        <f>DCF估值!D23</f>
        <v>0.0282</v>
      </c>
      <c r="D7" s="103" t="str">
        <f>[2]DCF估值!C26</f>
        <v>贝塔系数</v>
      </c>
      <c r="E7" s="106">
        <f>DCF估值!D27</f>
        <v>1.08</v>
      </c>
      <c r="F7" s="103"/>
      <c r="G7" s="103"/>
      <c r="H7" s="103"/>
      <c r="I7" s="103"/>
    </row>
    <row r="8" ht="20" customHeight="1" spans="2:9">
      <c r="B8" s="107" t="str">
        <f>[2]DCF估值!C23</f>
        <v>股权成本率</v>
      </c>
      <c r="C8" s="108">
        <f>DCF估值!D24</f>
        <v>0.170264</v>
      </c>
      <c r="D8" s="109" t="str">
        <f>[2]DCF估值!C27</f>
        <v>目标资本结构</v>
      </c>
      <c r="E8" s="110">
        <f>DCF估值!D28</f>
        <v>0.15</v>
      </c>
      <c r="F8" s="103"/>
      <c r="G8" s="103"/>
      <c r="H8" s="103"/>
      <c r="I8" s="103"/>
    </row>
    <row r="9" ht="20" customHeight="1" spans="2:9">
      <c r="B9" s="103"/>
      <c r="C9" s="103"/>
      <c r="D9" s="103"/>
      <c r="E9" s="103"/>
      <c r="F9" s="103"/>
      <c r="G9" s="103"/>
      <c r="H9" s="103"/>
      <c r="I9" s="103"/>
    </row>
    <row r="10" ht="20" customHeight="1" spans="2:9">
      <c r="B10" s="103"/>
      <c r="C10" s="103"/>
      <c r="D10" s="103"/>
      <c r="E10" s="103"/>
      <c r="F10" s="103"/>
      <c r="G10" s="103"/>
      <c r="H10" s="103"/>
      <c r="I10" s="103"/>
    </row>
    <row r="11" ht="20" customHeight="1" spans="2:9">
      <c r="B11" s="100" t="s">
        <v>23</v>
      </c>
      <c r="C11" s="101"/>
      <c r="D11" s="111" t="s">
        <v>24</v>
      </c>
      <c r="E11" s="111"/>
      <c r="F11" s="111"/>
      <c r="G11" s="111"/>
      <c r="H11" s="111"/>
      <c r="I11" s="124"/>
    </row>
    <row r="12" ht="20" customHeight="1" spans="2:9">
      <c r="B12" s="112" t="s">
        <v>25</v>
      </c>
      <c r="C12" s="113">
        <f>DCF估值!E36</f>
        <v>39.2587988144885</v>
      </c>
      <c r="D12" s="114" t="s">
        <v>26</v>
      </c>
      <c r="E12" s="115"/>
      <c r="F12" s="115"/>
      <c r="G12" s="115"/>
      <c r="H12" s="115"/>
      <c r="I12" s="125"/>
    </row>
    <row r="13" ht="20" customHeight="1" spans="2:9">
      <c r="B13" s="116" t="s">
        <v>27</v>
      </c>
      <c r="C13" s="117">
        <f>DCF估值!E37</f>
        <v>1.99895486063541</v>
      </c>
      <c r="D13" s="118">
        <f>DCF估值!C47</f>
        <v>0</v>
      </c>
      <c r="E13" s="118">
        <f>DCF估值!D47</f>
        <v>0.02</v>
      </c>
      <c r="F13" s="118">
        <f>DCF估值!E47</f>
        <v>0.025</v>
      </c>
      <c r="G13" s="118">
        <f>DCF估值!F47</f>
        <v>0.03</v>
      </c>
      <c r="H13" s="118">
        <f>DCF估值!G47</f>
        <v>0.035</v>
      </c>
      <c r="I13" s="118">
        <f>DCF估值!H47</f>
        <v>0.04</v>
      </c>
    </row>
    <row r="14" ht="20" customHeight="1" spans="2:9">
      <c r="B14" s="116" t="s">
        <v>28</v>
      </c>
      <c r="C14" s="117">
        <f>DCF估值!E38</f>
        <v>0</v>
      </c>
      <c r="D14" s="118">
        <f>DCF估值!C48</f>
        <v>0.13</v>
      </c>
      <c r="E14" s="119">
        <f>DCF估值!D48</f>
        <v>9.88426062225423</v>
      </c>
      <c r="F14" s="119">
        <f>DCF估值!E48</f>
        <v>10.1494653771235</v>
      </c>
      <c r="G14" s="119">
        <f>DCF估值!F48</f>
        <v>10.4411906074797</v>
      </c>
      <c r="H14" s="119">
        <f>DCF估值!G48</f>
        <v>10.7636237568207</v>
      </c>
      <c r="I14" s="119">
        <f>DCF估值!H48</f>
        <v>11.1218828116441</v>
      </c>
    </row>
    <row r="15" ht="20" customHeight="1" spans="2:9">
      <c r="B15" s="116" t="s">
        <v>29</v>
      </c>
      <c r="C15" s="117">
        <f>DCF估值!E39</f>
        <v>37.2598439538531</v>
      </c>
      <c r="D15" s="118">
        <f>DCF估值!C49</f>
        <v>0.14</v>
      </c>
      <c r="E15" s="119">
        <f>DCF估值!D49</f>
        <v>9.42015230123303</v>
      </c>
      <c r="F15" s="119">
        <f>DCF估值!E49</f>
        <v>9.64211715041708</v>
      </c>
      <c r="G15" s="119">
        <f>DCF估值!F49</f>
        <v>9.88426062225423</v>
      </c>
      <c r="H15" s="119">
        <f>DCF估值!G49</f>
        <v>10.1494653771235</v>
      </c>
      <c r="I15" s="119">
        <f>DCF估值!H49</f>
        <v>10.4411906074797</v>
      </c>
    </row>
    <row r="16" ht="20" customHeight="1" spans="2:9">
      <c r="B16" s="116" t="s">
        <v>30</v>
      </c>
      <c r="C16" s="117">
        <f>DCF估值!E41</f>
        <v>4.11</v>
      </c>
      <c r="D16" s="118">
        <f>DCF估值!C50</f>
        <v>0.149</v>
      </c>
      <c r="E16" s="120">
        <f>DCF估值!D50</f>
        <v>9.06397614789119</v>
      </c>
      <c r="F16" s="119">
        <f>DCF估值!E50</f>
        <v>9.25546870345132</v>
      </c>
      <c r="G16" s="119">
        <f>DCF估值!F50</f>
        <v>9.46305307040306</v>
      </c>
      <c r="H16" s="119">
        <f>DCF估值!G50</f>
        <v>9.68884659235057</v>
      </c>
      <c r="I16" s="119">
        <f>DCF估值!H50</f>
        <v>9.93535511631161</v>
      </c>
    </row>
    <row r="17" ht="20" customHeight="1" spans="2:9">
      <c r="B17" s="112" t="s">
        <v>31</v>
      </c>
      <c r="C17" s="113">
        <f>DCF估值!E42</f>
        <v>9.06565546322461</v>
      </c>
      <c r="D17" s="118">
        <f>DCF估值!C51</f>
        <v>0.16</v>
      </c>
      <c r="E17" s="119">
        <f>DCF估值!D51</f>
        <v>8.69083922534259</v>
      </c>
      <c r="F17" s="119">
        <f>DCF估值!E51</f>
        <v>8.85290879776269</v>
      </c>
      <c r="G17" s="119">
        <f>DCF估值!F51</f>
        <v>9.02744526036895</v>
      </c>
      <c r="H17" s="119">
        <f>DCF估值!G51</f>
        <v>9.21594463998371</v>
      </c>
      <c r="I17" s="119">
        <f>DCF估值!H51</f>
        <v>9.42015230123304</v>
      </c>
    </row>
    <row r="18" ht="20" customHeight="1" spans="2:9">
      <c r="B18" s="121" t="s">
        <v>32</v>
      </c>
      <c r="C18" s="122">
        <v>9.55</v>
      </c>
      <c r="D18" s="118">
        <f>DCF估值!C52</f>
        <v>0.17</v>
      </c>
      <c r="E18" s="119">
        <f>DCF估值!D52</f>
        <v>8.39911399498641</v>
      </c>
      <c r="F18" s="119">
        <f>DCF估值!E52</f>
        <v>8.53994686481353</v>
      </c>
      <c r="G18" s="119">
        <f>DCF估值!F52</f>
        <v>8.69083922534259</v>
      </c>
      <c r="H18" s="119">
        <f>DCF估值!G52</f>
        <v>8.85290879776269</v>
      </c>
      <c r="I18" s="119">
        <f>DCF估值!H52</f>
        <v>9.02744526036895</v>
      </c>
    </row>
    <row r="21" spans="3:3">
      <c r="C21" s="88"/>
    </row>
  </sheetData>
  <mergeCells count="5">
    <mergeCell ref="B2:I2"/>
    <mergeCell ref="B3:I3"/>
    <mergeCell ref="J1:K1048408"/>
    <mergeCell ref="F4:I8"/>
    <mergeCell ref="B9:I10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76"/>
  <sheetViews>
    <sheetView showGridLines="0" workbookViewId="0">
      <pane xSplit="9" ySplit="2" topLeftCell="J3" activePane="bottomRight" state="frozen"/>
      <selection/>
      <selection pane="topRight"/>
      <selection pane="bottomLeft"/>
      <selection pane="bottomRight" activeCell="K16" sqref="K16"/>
    </sheetView>
  </sheetViews>
  <sheetFormatPr defaultColWidth="9" defaultRowHeight="14.25"/>
  <cols>
    <col min="1" max="1" width="28.1416666666667" style="33"/>
    <col min="2" max="4" width="14.75" style="33" hidden="1" customWidth="1" outlineLevel="1"/>
    <col min="5" max="5" width="16.375" style="33" customWidth="1" collapsed="1"/>
    <col min="6" max="8" width="13.75" style="33"/>
    <col min="9" max="9" width="13" style="33"/>
    <col min="10" max="10" width="13.75" style="33"/>
    <col min="11" max="18" width="13" style="33"/>
    <col min="19" max="62" width="9" style="49"/>
  </cols>
  <sheetData>
    <row r="1" spans="1:1">
      <c r="A1" s="33" t="s">
        <v>33</v>
      </c>
    </row>
    <row r="2" spans="2:16">
      <c r="B2" s="33" t="s">
        <v>34</v>
      </c>
      <c r="C2" s="33" t="s">
        <v>35</v>
      </c>
      <c r="D2" s="33" t="s">
        <v>36</v>
      </c>
      <c r="E2" s="33" t="s">
        <v>37</v>
      </c>
      <c r="F2" s="33" t="s">
        <v>38</v>
      </c>
      <c r="G2" s="33" t="s">
        <v>39</v>
      </c>
      <c r="H2" s="33" t="s">
        <v>40</v>
      </c>
      <c r="I2" s="33" t="s">
        <v>41</v>
      </c>
      <c r="J2" s="33" t="s">
        <v>42</v>
      </c>
      <c r="K2" s="33" t="s">
        <v>43</v>
      </c>
      <c r="L2" s="33" t="s">
        <v>44</v>
      </c>
      <c r="M2" s="33" t="s">
        <v>45</v>
      </c>
      <c r="N2" s="33" t="s">
        <v>46</v>
      </c>
      <c r="O2" s="33" t="s">
        <v>47</v>
      </c>
      <c r="P2" s="33" t="s">
        <v>48</v>
      </c>
    </row>
    <row r="3" spans="1:16">
      <c r="A3" s="33" t="s">
        <v>49</v>
      </c>
      <c r="B3" s="33" t="s">
        <v>50</v>
      </c>
      <c r="C3" s="33" t="s">
        <v>51</v>
      </c>
      <c r="D3" s="33" t="s">
        <v>52</v>
      </c>
      <c r="E3" s="33" t="s">
        <v>53</v>
      </c>
      <c r="F3" s="33" t="s">
        <v>54</v>
      </c>
      <c r="G3" s="33" t="s">
        <v>55</v>
      </c>
      <c r="H3" s="33" t="s">
        <v>56</v>
      </c>
      <c r="I3" s="33" t="s">
        <v>57</v>
      </c>
      <c r="J3" s="85">
        <f>I3*(1+J4)</f>
        <v>2954.232</v>
      </c>
      <c r="K3" s="85">
        <f t="shared" ref="K3:P3" si="0">J3*(1+K4)</f>
        <v>3308.73984</v>
      </c>
      <c r="L3" s="85">
        <f t="shared" si="0"/>
        <v>3705.7886208</v>
      </c>
      <c r="M3" s="85">
        <f t="shared" si="0"/>
        <v>4076.36748288</v>
      </c>
      <c r="N3" s="85">
        <f t="shared" si="0"/>
        <v>4484.004231168</v>
      </c>
      <c r="O3" s="85">
        <f t="shared" si="0"/>
        <v>4842.72456966144</v>
      </c>
      <c r="P3" s="85">
        <f t="shared" si="0"/>
        <v>5230.14253523436</v>
      </c>
    </row>
    <row r="4" spans="2:16">
      <c r="B4" s="1"/>
      <c r="C4" s="61">
        <f>C3/B3-1</f>
        <v>0.214868540344515</v>
      </c>
      <c r="D4" s="61">
        <f>D3/C3-1</f>
        <v>0.212686567164179</v>
      </c>
      <c r="E4" s="61">
        <f>E3/D3-1</f>
        <v>0.123076923076923</v>
      </c>
      <c r="F4" s="61">
        <f t="shared" ref="C4:I4" si="1">F3/E3-1</f>
        <v>0.122739726027397</v>
      </c>
      <c r="G4" s="61">
        <f t="shared" si="1"/>
        <v>0.0844314299658371</v>
      </c>
      <c r="H4" s="61">
        <f t="shared" si="1"/>
        <v>0.131413141314132</v>
      </c>
      <c r="I4" s="61">
        <f t="shared" si="1"/>
        <v>0.0417661097852029</v>
      </c>
      <c r="J4" s="33" t="s">
        <v>58</v>
      </c>
      <c r="K4" s="33" t="s">
        <v>59</v>
      </c>
      <c r="L4" s="33" t="s">
        <v>59</v>
      </c>
      <c r="M4" s="33" t="s">
        <v>60</v>
      </c>
      <c r="N4" s="33" t="s">
        <v>60</v>
      </c>
      <c r="O4" s="33" t="s">
        <v>61</v>
      </c>
      <c r="P4" s="33" t="s">
        <v>61</v>
      </c>
    </row>
    <row r="5" spans="1:16">
      <c r="A5" s="33" t="s">
        <v>62</v>
      </c>
      <c r="C5" s="33" t="s">
        <v>63</v>
      </c>
      <c r="D5" s="33" t="s">
        <v>64</v>
      </c>
      <c r="E5" s="33" t="s">
        <v>65</v>
      </c>
      <c r="F5" s="33" t="s">
        <v>66</v>
      </c>
      <c r="G5" s="33" t="s">
        <v>67</v>
      </c>
      <c r="H5" s="33" t="s">
        <v>68</v>
      </c>
      <c r="I5" s="33" t="s">
        <v>69</v>
      </c>
      <c r="J5" s="33" t="s">
        <v>70</v>
      </c>
      <c r="K5" s="33" t="s">
        <v>71</v>
      </c>
      <c r="L5" s="85">
        <f>(K5*(1+L6))</f>
        <v>2228.156</v>
      </c>
      <c r="M5" s="85">
        <f>(L5*(1+M6))</f>
        <v>2348.476424</v>
      </c>
      <c r="N5" s="85">
        <f>(M5*(1+N6))</f>
        <v>2470.597198048</v>
      </c>
      <c r="O5" s="85">
        <f>(N5*(1+O6))</f>
        <v>2594.1270579504</v>
      </c>
      <c r="P5" s="85">
        <f>(O5*(1+P6))</f>
        <v>2710.86277555817</v>
      </c>
    </row>
    <row r="6" spans="1:16">
      <c r="A6" s="1"/>
      <c r="B6"/>
      <c r="C6"/>
      <c r="D6" s="61">
        <f>D5/C5-1</f>
        <v>0.0969267139479906</v>
      </c>
      <c r="E6" s="61">
        <f t="shared" ref="E6:K6" si="2">E5/D5-1</f>
        <v>0.0833333333333333</v>
      </c>
      <c r="F6" s="61">
        <f t="shared" si="2"/>
        <v>0.0676392572944298</v>
      </c>
      <c r="G6" s="61">
        <f t="shared" si="2"/>
        <v>0.0540372670807454</v>
      </c>
      <c r="H6" s="61">
        <f t="shared" si="2"/>
        <v>0.0530347672362994</v>
      </c>
      <c r="I6" s="61">
        <f t="shared" si="2"/>
        <v>0.0565193060996083</v>
      </c>
      <c r="J6" s="61">
        <f t="shared" si="2"/>
        <v>0.0582627118644068</v>
      </c>
      <c r="K6" s="61">
        <f t="shared" si="2"/>
        <v>0.0580580580580581</v>
      </c>
      <c r="L6" s="69">
        <v>0.054</v>
      </c>
      <c r="M6" s="69">
        <v>0.054</v>
      </c>
      <c r="N6" s="69">
        <v>0.052</v>
      </c>
      <c r="O6" s="69">
        <v>0.05</v>
      </c>
      <c r="P6" s="69">
        <v>0.045</v>
      </c>
    </row>
    <row r="7" spans="1:16">
      <c r="A7" s="33" t="s">
        <v>72</v>
      </c>
      <c r="B7" s="33" t="s">
        <v>73</v>
      </c>
      <c r="C7" s="33" t="s">
        <v>74</v>
      </c>
      <c r="D7" s="33" t="s">
        <v>75</v>
      </c>
      <c r="E7" s="33" t="s">
        <v>76</v>
      </c>
      <c r="F7" s="33" t="s">
        <v>77</v>
      </c>
      <c r="G7" s="33" t="s">
        <v>78</v>
      </c>
      <c r="H7" s="33" t="s">
        <v>79</v>
      </c>
      <c r="I7" s="33" t="s">
        <v>80</v>
      </c>
      <c r="J7" s="85">
        <f>I7*(1+J8)</f>
        <v>269.04</v>
      </c>
      <c r="K7" s="85">
        <f t="shared" ref="K7:P7" si="3">J7*(1+K8)</f>
        <v>304.0152</v>
      </c>
      <c r="L7" s="85">
        <f t="shared" si="3"/>
        <v>343.537176</v>
      </c>
      <c r="M7" s="85">
        <f t="shared" si="3"/>
        <v>384.76163712</v>
      </c>
      <c r="N7" s="85">
        <f t="shared" si="3"/>
        <v>442.475882688</v>
      </c>
      <c r="O7" s="85">
        <f t="shared" si="3"/>
        <v>495.57298861056</v>
      </c>
      <c r="P7" s="85">
        <f t="shared" si="3"/>
        <v>555.041747243827</v>
      </c>
    </row>
    <row r="8" spans="3:16">
      <c r="C8" s="76">
        <f t="shared" ref="C8:I8" si="4">C7/B7-1</f>
        <v>0.13434194062109</v>
      </c>
      <c r="D8" s="76">
        <f t="shared" si="4"/>
        <v>0.158343361411954</v>
      </c>
      <c r="E8" s="61">
        <f t="shared" si="4"/>
        <v>0.18214873171154</v>
      </c>
      <c r="F8" s="61">
        <f t="shared" si="4"/>
        <v>0.162651043573782</v>
      </c>
      <c r="G8" s="61">
        <f t="shared" si="4"/>
        <v>0.138321995464853</v>
      </c>
      <c r="H8" s="61">
        <f t="shared" si="4"/>
        <v>0.134351482957061</v>
      </c>
      <c r="I8" s="61">
        <f t="shared" si="4"/>
        <v>0.151219512195122</v>
      </c>
      <c r="J8" s="77">
        <v>0.14</v>
      </c>
      <c r="K8" s="77">
        <v>0.13</v>
      </c>
      <c r="L8" s="77">
        <v>0.13</v>
      </c>
      <c r="M8" s="77">
        <v>0.12</v>
      </c>
      <c r="N8" s="77">
        <v>0.15</v>
      </c>
      <c r="O8" s="77">
        <v>0.12</v>
      </c>
      <c r="P8" s="77">
        <v>0.12</v>
      </c>
    </row>
    <row r="9" spans="1:16">
      <c r="A9" s="33" t="s">
        <v>81</v>
      </c>
      <c r="B9"/>
      <c r="C9" s="61">
        <f>C7/C5</f>
        <v>0.0785815602836879</v>
      </c>
      <c r="D9" s="61">
        <f t="shared" ref="D9:P9" si="5">D7/D5</f>
        <v>0.0829813218390805</v>
      </c>
      <c r="E9" s="61">
        <f t="shared" si="5"/>
        <v>0.0905503978779841</v>
      </c>
      <c r="F9" s="61">
        <f t="shared" si="5"/>
        <v>0.0986086956521739</v>
      </c>
      <c r="G9" s="61">
        <f t="shared" si="5"/>
        <v>0.106493812610489</v>
      </c>
      <c r="H9" s="61">
        <f t="shared" si="5"/>
        <v>0.114717403469502</v>
      </c>
      <c r="I9" s="61">
        <f t="shared" si="5"/>
        <v>0.125</v>
      </c>
      <c r="J9" s="61">
        <f t="shared" si="5"/>
        <v>0.134654654654655</v>
      </c>
      <c r="K9" s="61">
        <f t="shared" si="5"/>
        <v>0.143810406811731</v>
      </c>
      <c r="L9" s="61">
        <f t="shared" si="5"/>
        <v>0.154180037663431</v>
      </c>
      <c r="M9" s="61">
        <f t="shared" si="5"/>
        <v>0.163834575126227</v>
      </c>
      <c r="N9" s="61">
        <f t="shared" si="5"/>
        <v>0.179096731364221</v>
      </c>
      <c r="O9" s="61">
        <f t="shared" si="5"/>
        <v>0.191036513455169</v>
      </c>
      <c r="P9" s="61">
        <f t="shared" si="5"/>
        <v>0.204747268009368</v>
      </c>
    </row>
    <row r="10" spans="2:16">
      <c r="B10"/>
      <c r="C10"/>
      <c r="D10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4"/>
    </row>
    <row r="11" spans="1:17">
      <c r="A11" s="6" t="s">
        <v>82</v>
      </c>
      <c r="B11" s="6"/>
      <c r="C11" s="6"/>
      <c r="D11" s="6"/>
      <c r="E11" s="54">
        <v>0.84</v>
      </c>
      <c r="F11" s="54">
        <v>1.1</v>
      </c>
      <c r="G11" s="54">
        <v>1.56</v>
      </c>
      <c r="H11" s="54">
        <v>3.82</v>
      </c>
      <c r="I11" s="54">
        <v>8.41</v>
      </c>
      <c r="J11" s="72">
        <f t="shared" ref="J11:P11" si="6">I11*(1+J12)</f>
        <v>12.1945</v>
      </c>
      <c r="K11" s="72">
        <f t="shared" si="6"/>
        <v>14.023675</v>
      </c>
      <c r="L11" s="72">
        <f t="shared" si="6"/>
        <v>18.2307775</v>
      </c>
      <c r="M11" s="72">
        <f t="shared" si="6"/>
        <v>22.24154855</v>
      </c>
      <c r="N11" s="72">
        <f t="shared" si="6"/>
        <v>27.8019356875</v>
      </c>
      <c r="O11" s="72">
        <f t="shared" si="6"/>
        <v>34.752419609375</v>
      </c>
      <c r="P11" s="72">
        <f t="shared" si="6"/>
        <v>41.70290353125</v>
      </c>
      <c r="Q11" s="53"/>
    </row>
    <row r="12" spans="1:17">
      <c r="A12" s="34" t="s">
        <v>83</v>
      </c>
      <c r="B12" s="34"/>
      <c r="C12" s="34"/>
      <c r="D12" s="34"/>
      <c r="E12" s="34"/>
      <c r="F12" s="70">
        <f>F11/E11-1</f>
        <v>0.30952380952381</v>
      </c>
      <c r="G12" s="70">
        <f>G11/F11-1</f>
        <v>0.418181818181818</v>
      </c>
      <c r="H12" s="70">
        <f>H11/G11-1</f>
        <v>1.44871794871795</v>
      </c>
      <c r="I12" s="70">
        <f>I11/H11-1</f>
        <v>1.20157068062827</v>
      </c>
      <c r="J12" s="77">
        <v>0.45</v>
      </c>
      <c r="K12" s="77">
        <v>0.15</v>
      </c>
      <c r="L12" s="77">
        <v>0.3</v>
      </c>
      <c r="M12" s="77">
        <v>0.22</v>
      </c>
      <c r="N12" s="77">
        <v>0.25</v>
      </c>
      <c r="O12" s="77">
        <v>0.25</v>
      </c>
      <c r="P12" s="77">
        <v>0.2</v>
      </c>
      <c r="Q12" s="53"/>
    </row>
    <row r="13" spans="1:17">
      <c r="A13" s="34" t="s">
        <v>84</v>
      </c>
      <c r="B13" s="34"/>
      <c r="C13" s="34"/>
      <c r="D13" s="34"/>
      <c r="E13" s="61">
        <f>E11/E23</f>
        <v>0.194444444444444</v>
      </c>
      <c r="F13" s="61">
        <f t="shared" ref="F13:P13" si="7">F11/F23</f>
        <v>0.143042912873862</v>
      </c>
      <c r="G13" s="61">
        <f t="shared" si="7"/>
        <v>0.133219470538002</v>
      </c>
      <c r="H13" s="61">
        <f t="shared" si="7"/>
        <v>0.232077764277035</v>
      </c>
      <c r="I13" s="61">
        <f t="shared" si="7"/>
        <v>0.374610244988864</v>
      </c>
      <c r="J13" s="61">
        <f t="shared" si="7"/>
        <v>0.531656551916571</v>
      </c>
      <c r="K13" s="61">
        <f t="shared" si="7"/>
        <v>0.552267367240201</v>
      </c>
      <c r="L13" s="61">
        <f t="shared" si="7"/>
        <v>0.574530827880847</v>
      </c>
      <c r="M13" s="61">
        <f t="shared" si="7"/>
        <v>0.57552976912717</v>
      </c>
      <c r="N13" s="61">
        <f t="shared" si="7"/>
        <v>0.584401178504414</v>
      </c>
      <c r="O13" s="61">
        <f t="shared" si="7"/>
        <v>0.582021748158706</v>
      </c>
      <c r="P13" s="61">
        <f t="shared" si="7"/>
        <v>0.576211854495183</v>
      </c>
      <c r="Q13" s="53"/>
    </row>
    <row r="14" spans="1:17">
      <c r="A14" s="6" t="s">
        <v>85</v>
      </c>
      <c r="B14" s="6"/>
      <c r="C14" s="6"/>
      <c r="D14" s="6"/>
      <c r="E14" s="54">
        <v>2.55</v>
      </c>
      <c r="F14" s="54">
        <v>5.81</v>
      </c>
      <c r="G14" s="54">
        <v>9.22</v>
      </c>
      <c r="H14" s="54">
        <v>11.4</v>
      </c>
      <c r="I14" s="54">
        <v>12.39</v>
      </c>
      <c r="J14" s="72">
        <f t="shared" ref="J14:P14" si="8">I14*(1+J15)</f>
        <v>8.9208</v>
      </c>
      <c r="K14" s="72">
        <f t="shared" si="8"/>
        <v>8.742384</v>
      </c>
      <c r="L14" s="72">
        <f t="shared" si="8"/>
        <v>10.14116544</v>
      </c>
      <c r="M14" s="72">
        <f t="shared" si="8"/>
        <v>12.3722218368</v>
      </c>
      <c r="N14" s="72">
        <f t="shared" si="8"/>
        <v>15.094110640896</v>
      </c>
      <c r="O14" s="72">
        <f t="shared" si="8"/>
        <v>19.3204616203469</v>
      </c>
      <c r="P14" s="72">
        <f t="shared" si="8"/>
        <v>23.5709631768232</v>
      </c>
      <c r="Q14" s="53"/>
    </row>
    <row r="15" spans="1:17">
      <c r="A15" s="34" t="s">
        <v>83</v>
      </c>
      <c r="B15" s="34"/>
      <c r="C15" s="34"/>
      <c r="D15" s="34"/>
      <c r="E15" s="34"/>
      <c r="F15" s="70">
        <f>F14/E14-1</f>
        <v>1.27843137254902</v>
      </c>
      <c r="G15" s="70">
        <f>G14/F14-1</f>
        <v>0.586919104991394</v>
      </c>
      <c r="H15" s="70">
        <f>H14/G14-1</f>
        <v>0.23644251626898</v>
      </c>
      <c r="I15" s="70">
        <f>I14/H14-1</f>
        <v>0.0868421052631578</v>
      </c>
      <c r="J15" s="86">
        <f>-28%</f>
        <v>-0.28</v>
      </c>
      <c r="K15" s="86">
        <v>-0.02</v>
      </c>
      <c r="L15" s="86">
        <v>0.16</v>
      </c>
      <c r="M15" s="77">
        <v>0.22</v>
      </c>
      <c r="N15" s="77">
        <v>0.22</v>
      </c>
      <c r="O15" s="77">
        <v>0.28</v>
      </c>
      <c r="P15" s="77">
        <v>0.22</v>
      </c>
      <c r="Q15" s="53"/>
    </row>
    <row r="16" spans="1:17">
      <c r="A16" s="34" t="s">
        <v>84</v>
      </c>
      <c r="B16" s="34"/>
      <c r="C16" s="34"/>
      <c r="D16" s="34"/>
      <c r="E16" s="61">
        <f>E14/E23</f>
        <v>0.590277777777778</v>
      </c>
      <c r="F16" s="61">
        <f t="shared" ref="F16:P16" si="9">F14/F23</f>
        <v>0.755526657997399</v>
      </c>
      <c r="G16" s="61">
        <f t="shared" si="9"/>
        <v>0.78736122971819</v>
      </c>
      <c r="H16" s="61">
        <f t="shared" si="9"/>
        <v>0.692588092345079</v>
      </c>
      <c r="I16" s="61">
        <f t="shared" si="9"/>
        <v>0.551893095768374</v>
      </c>
      <c r="J16" s="61">
        <f t="shared" si="9"/>
        <v>0.388929580412263</v>
      </c>
      <c r="K16" s="61">
        <f t="shared" si="9"/>
        <v>0.344284461461269</v>
      </c>
      <c r="L16" s="61">
        <f t="shared" si="9"/>
        <v>0.31959208409624</v>
      </c>
      <c r="M16" s="61">
        <f t="shared" si="9"/>
        <v>0.320147761353767</v>
      </c>
      <c r="N16" s="61">
        <f t="shared" si="9"/>
        <v>0.317280643555393</v>
      </c>
      <c r="O16" s="61">
        <f t="shared" si="9"/>
        <v>0.32357254470057</v>
      </c>
      <c r="P16" s="61">
        <f t="shared" si="9"/>
        <v>0.325681601382441</v>
      </c>
      <c r="Q16" s="53"/>
    </row>
    <row r="17" spans="1:17">
      <c r="A17" s="6" t="s">
        <v>86</v>
      </c>
      <c r="B17" s="6"/>
      <c r="C17" s="6"/>
      <c r="D17" s="6"/>
      <c r="E17" s="54">
        <v>0.82</v>
      </c>
      <c r="F17" s="54">
        <v>0.64</v>
      </c>
      <c r="G17" s="54">
        <v>0.82</v>
      </c>
      <c r="H17" s="54">
        <v>1.11</v>
      </c>
      <c r="I17" s="54">
        <v>1.22</v>
      </c>
      <c r="J17" s="72">
        <f>I17*(1+J18)</f>
        <v>0.854</v>
      </c>
      <c r="K17" s="72">
        <f t="shared" ref="K17:P17" si="10">J17*(1+K18)</f>
        <v>0.9821</v>
      </c>
      <c r="L17" s="72">
        <f t="shared" si="10"/>
        <v>1.139236</v>
      </c>
      <c r="M17" s="72">
        <f t="shared" si="10"/>
        <v>1.3670832</v>
      </c>
      <c r="N17" s="72">
        <f t="shared" si="10"/>
        <v>1.613158176</v>
      </c>
      <c r="O17" s="72">
        <f t="shared" si="10"/>
        <v>1.80673715712</v>
      </c>
      <c r="P17" s="72">
        <f t="shared" si="10"/>
        <v>2.3126235611136</v>
      </c>
      <c r="Q17" s="53"/>
    </row>
    <row r="18" spans="1:17">
      <c r="A18" s="34" t="s">
        <v>83</v>
      </c>
      <c r="B18" s="34"/>
      <c r="C18" s="34"/>
      <c r="D18" s="34"/>
      <c r="E18" s="34"/>
      <c r="F18" s="61">
        <f>F17/E17-1</f>
        <v>-0.219512195121951</v>
      </c>
      <c r="G18" s="61">
        <f>G17/F17-1</f>
        <v>0.28125</v>
      </c>
      <c r="H18" s="61">
        <f>H17/G17-1</f>
        <v>0.353658536585366</v>
      </c>
      <c r="I18" s="61">
        <f>I17/H17-1</f>
        <v>0.099099099099099</v>
      </c>
      <c r="J18" s="77">
        <v>-0.3</v>
      </c>
      <c r="K18" s="77">
        <v>0.15</v>
      </c>
      <c r="L18" s="77">
        <v>0.16</v>
      </c>
      <c r="M18" s="77">
        <v>0.2</v>
      </c>
      <c r="N18" s="77">
        <v>0.18</v>
      </c>
      <c r="O18" s="77">
        <v>0.12</v>
      </c>
      <c r="P18" s="77">
        <v>0.28</v>
      </c>
      <c r="Q18" s="53"/>
    </row>
    <row r="19" spans="1:17">
      <c r="A19" s="34" t="s">
        <v>84</v>
      </c>
      <c r="B19" s="34"/>
      <c r="C19" s="34"/>
      <c r="D19" s="34"/>
      <c r="E19" s="61">
        <f>E17/E23</f>
        <v>0.189814814814815</v>
      </c>
      <c r="F19" s="61">
        <f t="shared" ref="F19:P19" si="11">F17/F23</f>
        <v>0.0832249674902471</v>
      </c>
      <c r="G19" s="61">
        <f t="shared" si="11"/>
        <v>0.0700256191289496</v>
      </c>
      <c r="H19" s="61">
        <f t="shared" si="11"/>
        <v>0.0674362089914945</v>
      </c>
      <c r="I19" s="61">
        <f t="shared" si="11"/>
        <v>0.0543429844097996</v>
      </c>
      <c r="J19" s="61">
        <f t="shared" si="11"/>
        <v>0.0372327438875519</v>
      </c>
      <c r="K19" s="61">
        <f t="shared" si="11"/>
        <v>0.0386761516768323</v>
      </c>
      <c r="L19" s="61">
        <f t="shared" si="11"/>
        <v>0.0359022648502876</v>
      </c>
      <c r="M19" s="61">
        <f t="shared" si="11"/>
        <v>0.035375103343406</v>
      </c>
      <c r="N19" s="61">
        <f t="shared" si="11"/>
        <v>0.0339088454043253</v>
      </c>
      <c r="O19" s="61">
        <f t="shared" si="11"/>
        <v>0.0302586217152661</v>
      </c>
      <c r="P19" s="61">
        <f t="shared" si="11"/>
        <v>0.0319536770359399</v>
      </c>
      <c r="Q19" s="53"/>
    </row>
    <row r="20" spans="1:17">
      <c r="A20" s="6" t="s">
        <v>87</v>
      </c>
      <c r="B20" s="6"/>
      <c r="C20" s="6"/>
      <c r="D20" s="6"/>
      <c r="E20" s="81"/>
      <c r="F20" s="54">
        <v>0.11</v>
      </c>
      <c r="G20" s="54">
        <v>0.1</v>
      </c>
      <c r="H20" s="54">
        <v>0.07</v>
      </c>
      <c r="I20" s="54">
        <v>0.43</v>
      </c>
      <c r="J20" s="72">
        <f t="shared" ref="J20:P20" si="12">I20*(1+J21)</f>
        <v>0.9675</v>
      </c>
      <c r="K20" s="72">
        <f t="shared" si="12"/>
        <v>1.64475</v>
      </c>
      <c r="L20" s="72">
        <f t="shared" si="12"/>
        <v>2.2204125</v>
      </c>
      <c r="M20" s="72">
        <f t="shared" si="12"/>
        <v>2.664495</v>
      </c>
      <c r="N20" s="72">
        <f t="shared" si="12"/>
        <v>3.06416925</v>
      </c>
      <c r="O20" s="72">
        <f t="shared" si="12"/>
        <v>3.8302115625</v>
      </c>
      <c r="P20" s="72">
        <f t="shared" si="12"/>
        <v>4.787764453125</v>
      </c>
      <c r="Q20" s="53"/>
    </row>
    <row r="21" spans="1:17">
      <c r="A21" s="34" t="s">
        <v>83</v>
      </c>
      <c r="B21" s="34"/>
      <c r="C21" s="34"/>
      <c r="D21" s="34"/>
      <c r="E21" s="34"/>
      <c r="F21" s="34"/>
      <c r="G21" s="70">
        <f>G20/F20-1</f>
        <v>-0.0909090909090908</v>
      </c>
      <c r="H21" s="70">
        <f>H20/G20-1</f>
        <v>-0.3</v>
      </c>
      <c r="I21" s="70">
        <f>I20/H20-1</f>
        <v>5.14285714285714</v>
      </c>
      <c r="J21" s="77">
        <v>1.25</v>
      </c>
      <c r="K21" s="77">
        <v>0.7</v>
      </c>
      <c r="L21" s="77">
        <v>0.35</v>
      </c>
      <c r="M21" s="77">
        <v>0.2</v>
      </c>
      <c r="N21" s="77">
        <v>0.15</v>
      </c>
      <c r="O21" s="77">
        <v>0.25</v>
      </c>
      <c r="P21" s="77">
        <v>0.25</v>
      </c>
      <c r="Q21"/>
    </row>
    <row r="22" spans="1:17">
      <c r="A22" s="34" t="s">
        <v>84</v>
      </c>
      <c r="B22" s="34"/>
      <c r="C22" s="34"/>
      <c r="D22" s="34"/>
      <c r="E22" s="34"/>
      <c r="F22" s="61">
        <f>F20/F23</f>
        <v>0.0143042912873862</v>
      </c>
      <c r="G22" s="61">
        <f t="shared" ref="G22:P22" si="13">G20/G23</f>
        <v>0.0085397096498719</v>
      </c>
      <c r="H22" s="61">
        <f t="shared" si="13"/>
        <v>0.00425273390036452</v>
      </c>
      <c r="I22" s="61">
        <f t="shared" si="13"/>
        <v>0.0191536748329621</v>
      </c>
      <c r="J22" s="61">
        <f t="shared" si="13"/>
        <v>0.0421811237836141</v>
      </c>
      <c r="K22" s="61">
        <f t="shared" si="13"/>
        <v>0.0647720196216983</v>
      </c>
      <c r="L22" s="61">
        <f t="shared" si="13"/>
        <v>0.0699748231726256</v>
      </c>
      <c r="M22" s="61">
        <f t="shared" si="13"/>
        <v>0.0689473661756568</v>
      </c>
      <c r="N22" s="61">
        <f t="shared" si="13"/>
        <v>0.0644093325358674</v>
      </c>
      <c r="O22" s="61">
        <f t="shared" si="13"/>
        <v>0.0641470854254579</v>
      </c>
      <c r="P22" s="61">
        <f t="shared" si="13"/>
        <v>0.0661528670864366</v>
      </c>
      <c r="Q22"/>
    </row>
    <row r="23" spans="1:16">
      <c r="A23" s="6" t="s">
        <v>88</v>
      </c>
      <c r="B23" s="6"/>
      <c r="C23" s="6"/>
      <c r="D23" s="6"/>
      <c r="E23" s="54">
        <v>4.32</v>
      </c>
      <c r="F23" s="54">
        <v>7.69</v>
      </c>
      <c r="G23" s="54">
        <v>11.71</v>
      </c>
      <c r="H23" s="54">
        <v>16.46</v>
      </c>
      <c r="I23" s="54">
        <v>22.45</v>
      </c>
      <c r="J23" s="87">
        <f>J11+J14+J17+J20</f>
        <v>22.9368</v>
      </c>
      <c r="K23" s="87">
        <f t="shared" ref="K23:P23" si="14">K11+K14+K17+K20</f>
        <v>25.392909</v>
      </c>
      <c r="L23" s="87">
        <f t="shared" si="14"/>
        <v>31.73159144</v>
      </c>
      <c r="M23" s="87">
        <f t="shared" si="14"/>
        <v>38.6453485868</v>
      </c>
      <c r="N23" s="87">
        <f t="shared" si="14"/>
        <v>47.573373754396</v>
      </c>
      <c r="O23" s="87">
        <f t="shared" si="14"/>
        <v>59.7098299493419</v>
      </c>
      <c r="P23" s="87">
        <f t="shared" si="14"/>
        <v>72.3742547223118</v>
      </c>
    </row>
    <row r="24" spans="1:16">
      <c r="A24" s="34" t="s">
        <v>83</v>
      </c>
      <c r="B24" s="34"/>
      <c r="C24" s="34"/>
      <c r="D24" s="34"/>
      <c r="E24" s="34"/>
      <c r="F24" s="61">
        <f>F23/E23-1</f>
        <v>0.780092592592593</v>
      </c>
      <c r="G24" s="61">
        <f t="shared" ref="G24:P24" si="15">G23/F23-1</f>
        <v>0.522756827048114</v>
      </c>
      <c r="H24" s="61">
        <f t="shared" si="15"/>
        <v>0.405636208368915</v>
      </c>
      <c r="I24" s="61">
        <f t="shared" si="15"/>
        <v>0.363912515188335</v>
      </c>
      <c r="J24" s="61">
        <f t="shared" si="15"/>
        <v>0.0216837416481068</v>
      </c>
      <c r="K24" s="61">
        <f t="shared" si="15"/>
        <v>0.107081589410903</v>
      </c>
      <c r="L24" s="61">
        <f t="shared" si="15"/>
        <v>0.249624115141751</v>
      </c>
      <c r="M24" s="61">
        <f t="shared" si="15"/>
        <v>0.217882458239542</v>
      </c>
      <c r="N24" s="61">
        <f t="shared" si="15"/>
        <v>0.231024573307783</v>
      </c>
      <c r="O24" s="61">
        <f t="shared" si="15"/>
        <v>0.255110269404099</v>
      </c>
      <c r="P24" s="61">
        <f t="shared" si="15"/>
        <v>0.212099494902505</v>
      </c>
    </row>
    <row r="25" spans="1:17">
      <c r="A25" s="34"/>
      <c r="B25" s="34"/>
      <c r="C25" s="34"/>
      <c r="D25" s="34"/>
      <c r="F25" s="53"/>
      <c r="G25" s="53"/>
      <c r="H25" s="53"/>
      <c r="I25" s="53"/>
      <c r="J25" s="34"/>
      <c r="K25" s="34"/>
      <c r="L25" s="34"/>
      <c r="M25" s="34"/>
      <c r="N25" s="34"/>
      <c r="O25" s="34"/>
      <c r="P25" s="34"/>
      <c r="Q25" s="53"/>
    </row>
    <row r="26" hidden="1" outlineLevel="1" spans="1:17">
      <c r="A26" s="34" t="s">
        <v>89</v>
      </c>
      <c r="B26" s="34"/>
      <c r="C26" s="34"/>
      <c r="D26" s="34"/>
      <c r="F26" s="53">
        <v>7.64</v>
      </c>
      <c r="G26" s="53">
        <v>11.36</v>
      </c>
      <c r="H26" s="53">
        <v>14.28</v>
      </c>
      <c r="I26" s="53">
        <v>18.41</v>
      </c>
      <c r="J26" s="40">
        <f>J23-J29</f>
        <v>17.0788</v>
      </c>
      <c r="K26" s="40">
        <f t="shared" ref="K26:P26" si="16">K23-K29</f>
        <v>17.777509</v>
      </c>
      <c r="L26" s="40">
        <f t="shared" si="16"/>
        <v>22.44080344</v>
      </c>
      <c r="M26" s="40">
        <f t="shared" si="16"/>
        <v>26.1027847868</v>
      </c>
      <c r="N26" s="40">
        <f t="shared" si="16"/>
        <v>32.522297194396</v>
      </c>
      <c r="O26" s="40">
        <f t="shared" si="16"/>
        <v>41.6485380773419</v>
      </c>
      <c r="P26" s="40">
        <f t="shared" si="16"/>
        <v>51.6037690695118</v>
      </c>
      <c r="Q26" s="53"/>
    </row>
    <row r="27" hidden="1" outlineLevel="1" spans="1:17">
      <c r="A27" s="34" t="s">
        <v>90</v>
      </c>
      <c r="B27" s="34"/>
      <c r="C27" s="34"/>
      <c r="D27" s="34"/>
      <c r="E27" s="34"/>
      <c r="F27" s="34"/>
      <c r="G27" s="61">
        <f>G26/F26-1</f>
        <v>0.486910994764398</v>
      </c>
      <c r="H27" s="61">
        <f>H26/G26-1</f>
        <v>0.257042253521127</v>
      </c>
      <c r="I27" s="61">
        <f>I26/H26-1</f>
        <v>0.28921568627451</v>
      </c>
      <c r="J27" s="61">
        <f>J26/I26-1</f>
        <v>-0.0723085279739274</v>
      </c>
      <c r="K27" s="61">
        <f t="shared" ref="K27:P27" si="17">K26/J26-1</f>
        <v>0.0409108953790662</v>
      </c>
      <c r="L27" s="61">
        <f t="shared" si="17"/>
        <v>0.262314278113992</v>
      </c>
      <c r="M27" s="61">
        <f t="shared" si="17"/>
        <v>0.163184056960841</v>
      </c>
      <c r="N27" s="61">
        <f t="shared" si="17"/>
        <v>0.245932089622955</v>
      </c>
      <c r="O27" s="61">
        <f t="shared" si="17"/>
        <v>0.280614891020627</v>
      </c>
      <c r="P27" s="61">
        <f t="shared" si="17"/>
        <v>0.23902954225387</v>
      </c>
      <c r="Q27" s="53"/>
    </row>
    <row r="28" hidden="1" outlineLevel="1" spans="1:17">
      <c r="A28" s="34" t="s">
        <v>91</v>
      </c>
      <c r="B28" s="34"/>
      <c r="C28" s="34"/>
      <c r="D28" s="34"/>
      <c r="E28" s="34"/>
      <c r="F28" s="70">
        <f>F26/F23</f>
        <v>0.993498049414824</v>
      </c>
      <c r="G28" s="70">
        <f>G26/G23</f>
        <v>0.970111016225448</v>
      </c>
      <c r="H28" s="70">
        <f>H26/H23</f>
        <v>0.867557715674362</v>
      </c>
      <c r="I28" s="70">
        <f>I26/I23</f>
        <v>0.820044543429844</v>
      </c>
      <c r="J28" s="76">
        <f>J26/J23</f>
        <v>0.744602560078128</v>
      </c>
      <c r="K28" s="76">
        <f t="shared" ref="K28:P28" si="18">K26/K23</f>
        <v>0.700097377578914</v>
      </c>
      <c r="L28" s="76">
        <f t="shared" si="18"/>
        <v>0.707206995351381</v>
      </c>
      <c r="M28" s="76">
        <f t="shared" si="18"/>
        <v>0.675444412881189</v>
      </c>
      <c r="N28" s="76">
        <f t="shared" si="18"/>
        <v>0.683623939775572</v>
      </c>
      <c r="O28" s="76">
        <f t="shared" si="18"/>
        <v>0.697515603589505</v>
      </c>
      <c r="P28" s="76">
        <f t="shared" si="18"/>
        <v>0.713012787040185</v>
      </c>
      <c r="Q28" s="53"/>
    </row>
    <row r="29" hidden="1" outlineLevel="1" spans="1:17">
      <c r="A29" s="34" t="s">
        <v>92</v>
      </c>
      <c r="B29" s="34"/>
      <c r="C29" s="34"/>
      <c r="D29" s="34"/>
      <c r="F29" s="53">
        <v>0.02</v>
      </c>
      <c r="G29" s="53">
        <v>0.33</v>
      </c>
      <c r="H29" s="53">
        <v>2.12</v>
      </c>
      <c r="I29" s="53">
        <v>4.04</v>
      </c>
      <c r="J29" s="40">
        <f>I29*(1+J30)</f>
        <v>5.858</v>
      </c>
      <c r="K29" s="40">
        <f t="shared" ref="K29:P29" si="19">J29*(1+K30)</f>
        <v>7.6154</v>
      </c>
      <c r="L29" s="40">
        <f t="shared" si="19"/>
        <v>9.290788</v>
      </c>
      <c r="M29" s="40">
        <f t="shared" si="19"/>
        <v>12.5425638</v>
      </c>
      <c r="N29" s="40">
        <f t="shared" si="19"/>
        <v>15.05107656</v>
      </c>
      <c r="O29" s="40">
        <f t="shared" si="19"/>
        <v>18.061291872</v>
      </c>
      <c r="P29" s="40">
        <f t="shared" si="19"/>
        <v>20.7704856528</v>
      </c>
      <c r="Q29" s="53"/>
    </row>
    <row r="30" hidden="1" outlineLevel="1" spans="1:17">
      <c r="A30" s="34" t="s">
        <v>90</v>
      </c>
      <c r="B30" s="34"/>
      <c r="C30" s="34"/>
      <c r="D30" s="34"/>
      <c r="E30" s="34"/>
      <c r="F30" s="34"/>
      <c r="G30" s="70">
        <f>G29/F29-1</f>
        <v>15.5</v>
      </c>
      <c r="H30" s="70">
        <f>H29/G29-1</f>
        <v>5.42424242424242</v>
      </c>
      <c r="I30" s="70">
        <f>I29/H29-1</f>
        <v>0.905660377358491</v>
      </c>
      <c r="J30" s="77">
        <v>0.45</v>
      </c>
      <c r="K30" s="77">
        <v>0.3</v>
      </c>
      <c r="L30" s="77">
        <v>0.22</v>
      </c>
      <c r="M30" s="77">
        <v>0.35</v>
      </c>
      <c r="N30" s="77">
        <v>0.2</v>
      </c>
      <c r="O30" s="77">
        <v>0.2</v>
      </c>
      <c r="P30" s="77">
        <v>0.15</v>
      </c>
      <c r="Q30"/>
    </row>
    <row r="31" hidden="1" outlineLevel="1" spans="1:16">
      <c r="A31" s="34" t="s">
        <v>91</v>
      </c>
      <c r="B31" s="34"/>
      <c r="C31" s="34"/>
      <c r="D31" s="34"/>
      <c r="E31" s="34"/>
      <c r="F31" s="61">
        <f>F29/F23</f>
        <v>0.00260078023407022</v>
      </c>
      <c r="G31" s="61">
        <f>G29/G23</f>
        <v>0.0281810418445773</v>
      </c>
      <c r="H31" s="61">
        <f>H29/H23</f>
        <v>0.128797083839611</v>
      </c>
      <c r="I31" s="61">
        <f>I29/I23</f>
        <v>0.179955456570156</v>
      </c>
      <c r="J31" s="76">
        <f>J29/J23</f>
        <v>0.255397439921872</v>
      </c>
      <c r="K31" s="76">
        <f t="shared" ref="K31:P31" si="20">K29/K23</f>
        <v>0.299902622421086</v>
      </c>
      <c r="L31" s="76">
        <f t="shared" si="20"/>
        <v>0.292793004648619</v>
      </c>
      <c r="M31" s="76">
        <f t="shared" si="20"/>
        <v>0.324555587118811</v>
      </c>
      <c r="N31" s="76">
        <f t="shared" si="20"/>
        <v>0.316376060224428</v>
      </c>
      <c r="O31" s="76">
        <f t="shared" si="20"/>
        <v>0.302484396410495</v>
      </c>
      <c r="P31" s="76">
        <f t="shared" si="20"/>
        <v>0.286987212959815</v>
      </c>
    </row>
    <row r="32" collapsed="1" spans="1:16">
      <c r="A32" s="34" t="s">
        <v>93</v>
      </c>
      <c r="B32" s="34"/>
      <c r="C32" s="34"/>
      <c r="D32" s="34"/>
      <c r="E32" s="34"/>
      <c r="F32" s="61"/>
      <c r="G32" s="61"/>
      <c r="H32" s="61"/>
      <c r="I32" s="61"/>
      <c r="J32" s="76"/>
      <c r="K32" s="76"/>
      <c r="L32" s="76"/>
      <c r="M32" s="76"/>
      <c r="N32" s="76"/>
      <c r="O32" s="76"/>
      <c r="P32" s="76"/>
    </row>
    <row r="33" spans="1:17">
      <c r="A33" s="82" t="s">
        <v>94</v>
      </c>
      <c r="B33" s="34"/>
      <c r="C33" s="34"/>
      <c r="D33" s="34"/>
      <c r="E33" s="53">
        <v>64.69</v>
      </c>
      <c r="F33" s="53">
        <v>58.55</v>
      </c>
      <c r="G33" s="53">
        <v>53.57</v>
      </c>
      <c r="H33" s="53">
        <v>48.85</v>
      </c>
      <c r="I33" s="53">
        <v>53.89</v>
      </c>
      <c r="J33" s="34">
        <v>46</v>
      </c>
      <c r="K33" s="34">
        <v>48</v>
      </c>
      <c r="L33" s="34">
        <v>50</v>
      </c>
      <c r="M33" s="34">
        <v>54</v>
      </c>
      <c r="N33" s="34">
        <v>56</v>
      </c>
      <c r="O33" s="34">
        <v>58</v>
      </c>
      <c r="P33" s="34">
        <v>58</v>
      </c>
      <c r="Q33" s="53"/>
    </row>
    <row r="34" spans="1:17">
      <c r="A34" s="82" t="s">
        <v>95</v>
      </c>
      <c r="B34" s="34"/>
      <c r="C34" s="34"/>
      <c r="D34" s="34"/>
      <c r="E34" s="53">
        <v>58.02</v>
      </c>
      <c r="F34" s="53">
        <v>54.29</v>
      </c>
      <c r="G34" s="53">
        <v>53.1</v>
      </c>
      <c r="H34" s="53">
        <v>54.01</v>
      </c>
      <c r="I34" s="53">
        <v>48.78</v>
      </c>
      <c r="J34" s="88">
        <v>44</v>
      </c>
      <c r="K34" s="88">
        <v>46</v>
      </c>
      <c r="L34" s="88">
        <v>48</v>
      </c>
      <c r="M34" s="34">
        <v>52</v>
      </c>
      <c r="N34" s="34">
        <v>52</v>
      </c>
      <c r="O34" s="34">
        <v>54</v>
      </c>
      <c r="P34" s="34">
        <v>56</v>
      </c>
      <c r="Q34" s="53"/>
    </row>
    <row r="35" spans="1:16">
      <c r="A35" s="82" t="s">
        <v>96</v>
      </c>
      <c r="B35" s="34"/>
      <c r="C35" s="34"/>
      <c r="D35" s="34"/>
      <c r="E35" s="53">
        <v>64.07</v>
      </c>
      <c r="F35" s="53">
        <v>63.09</v>
      </c>
      <c r="G35" s="53">
        <v>57.74</v>
      </c>
      <c r="H35" s="53">
        <v>55.86</v>
      </c>
      <c r="I35" s="33" t="s">
        <v>97</v>
      </c>
      <c r="J35" s="34">
        <v>61</v>
      </c>
      <c r="K35" s="34">
        <v>55</v>
      </c>
      <c r="L35" s="34">
        <v>55</v>
      </c>
      <c r="M35" s="34">
        <v>55</v>
      </c>
      <c r="N35" s="34">
        <f>M35</f>
        <v>55</v>
      </c>
      <c r="O35" s="34">
        <f>N35</f>
        <v>55</v>
      </c>
      <c r="P35" s="34">
        <f>O35</f>
        <v>55</v>
      </c>
    </row>
    <row r="36" spans="1:16">
      <c r="A36" s="82" t="s">
        <v>98</v>
      </c>
      <c r="B36" s="34"/>
      <c r="C36" s="34"/>
      <c r="D36" s="34"/>
      <c r="F36" s="53">
        <v>28.04</v>
      </c>
      <c r="G36" s="53">
        <v>10.93</v>
      </c>
      <c r="I36" s="33" t="s">
        <v>99</v>
      </c>
      <c r="J36" s="34">
        <v>89</v>
      </c>
      <c r="K36" s="34">
        <f>J36</f>
        <v>89</v>
      </c>
      <c r="L36" s="34">
        <f>K36</f>
        <v>89</v>
      </c>
      <c r="M36" s="34">
        <f>L36</f>
        <v>89</v>
      </c>
      <c r="N36" s="34">
        <v>80</v>
      </c>
      <c r="O36" s="34">
        <v>80</v>
      </c>
      <c r="P36" s="34">
        <v>80</v>
      </c>
    </row>
    <row r="37" spans="1:18">
      <c r="A37" s="34" t="s">
        <v>100</v>
      </c>
      <c r="B37" s="34"/>
      <c r="C37" s="34"/>
      <c r="D37" s="34"/>
      <c r="E37" s="53">
        <v>59.92</v>
      </c>
      <c r="F37" s="53">
        <v>55.11</v>
      </c>
      <c r="G37" s="53">
        <v>53.18</v>
      </c>
      <c r="H37" s="53">
        <v>52.63</v>
      </c>
      <c r="I37" s="53">
        <v>51.67</v>
      </c>
      <c r="J37" s="34"/>
      <c r="K37" s="34"/>
      <c r="L37" s="34"/>
      <c r="M37" s="34"/>
      <c r="N37" s="34"/>
      <c r="O37" s="34"/>
      <c r="P37" s="34"/>
      <c r="Q37" s="53"/>
      <c r="R37" s="53"/>
    </row>
    <row r="38" spans="1:16">
      <c r="A38" s="34"/>
      <c r="B38" s="34"/>
      <c r="C38" s="34"/>
      <c r="D38" s="34"/>
      <c r="E38" s="53"/>
      <c r="F38" s="53"/>
      <c r="G38" s="53"/>
      <c r="H38" s="53"/>
      <c r="J38" s="34"/>
      <c r="K38" s="34"/>
      <c r="L38" s="34"/>
      <c r="M38" s="34"/>
      <c r="N38" s="34"/>
      <c r="O38" s="34"/>
      <c r="P38" s="34"/>
    </row>
    <row r="39" spans="1:16">
      <c r="A39" s="34"/>
      <c r="B39" s="34"/>
      <c r="C39" s="34"/>
      <c r="D39" s="34"/>
      <c r="E39" s="34"/>
      <c r="F39" s="61"/>
      <c r="G39" s="61"/>
      <c r="H39" s="61"/>
      <c r="I39" s="61"/>
      <c r="J39" s="76"/>
      <c r="K39" s="76"/>
      <c r="L39" s="76"/>
      <c r="M39" s="76"/>
      <c r="N39" s="76"/>
      <c r="O39" s="76"/>
      <c r="P39" s="76"/>
    </row>
    <row r="40" spans="1:18">
      <c r="A40" s="6" t="s">
        <v>101</v>
      </c>
      <c r="B40" s="6"/>
      <c r="C40" s="6"/>
      <c r="D40" s="6"/>
      <c r="E40" s="54">
        <v>1.73</v>
      </c>
      <c r="F40" s="54">
        <v>3.45</v>
      </c>
      <c r="G40" s="54">
        <v>5.48</v>
      </c>
      <c r="H40" s="54">
        <v>7.8</v>
      </c>
      <c r="I40" s="54">
        <v>10.85</v>
      </c>
      <c r="J40" s="89">
        <f>J42+J45+J48+J51</f>
        <v>12.020163</v>
      </c>
      <c r="K40" s="89">
        <f t="shared" ref="K40:P40" si="21">K42+K45+K48+K51</f>
        <v>12.63606586</v>
      </c>
      <c r="L40" s="89">
        <f t="shared" si="21"/>
        <v>15.1456963538</v>
      </c>
      <c r="M40" s="89">
        <f t="shared" si="21"/>
        <v>17.078060704664</v>
      </c>
      <c r="N40" s="89">
        <f t="shared" si="21"/>
        <v>20.8167798393301</v>
      </c>
      <c r="O40" s="89">
        <f t="shared" si="21"/>
        <v>25.0625026145011</v>
      </c>
      <c r="P40" s="89">
        <f t="shared" si="21"/>
        <v>29.8846767740533</v>
      </c>
      <c r="Q40" s="53"/>
      <c r="R40" s="53"/>
    </row>
    <row r="41" s="80" customFormat="1" spans="1:62">
      <c r="A41" s="83"/>
      <c r="B41" s="83"/>
      <c r="C41" s="83"/>
      <c r="D41" s="83"/>
      <c r="E41" s="84"/>
      <c r="F41" s="84"/>
      <c r="G41" s="84"/>
      <c r="H41" s="84"/>
      <c r="I41" s="84"/>
      <c r="J41" s="90"/>
      <c r="K41" s="90"/>
      <c r="L41" s="90"/>
      <c r="M41" s="90"/>
      <c r="N41" s="90"/>
      <c r="O41" s="90"/>
      <c r="P41" s="90"/>
      <c r="Q41" s="84"/>
      <c r="R41" s="84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  <c r="AG41" s="95"/>
      <c r="AH41" s="95"/>
      <c r="AI41" s="95"/>
      <c r="AJ41" s="95"/>
      <c r="AK41" s="95"/>
      <c r="AL41" s="95"/>
      <c r="AM41" s="95"/>
      <c r="AN41" s="95"/>
      <c r="AO41" s="95"/>
      <c r="AP41" s="95"/>
      <c r="AQ41" s="95"/>
      <c r="AR41" s="95"/>
      <c r="AS41" s="95"/>
      <c r="AT41" s="95"/>
      <c r="AU41" s="95"/>
      <c r="AV41" s="95"/>
      <c r="AW41" s="95"/>
      <c r="AX41" s="95"/>
      <c r="AY41" s="95"/>
      <c r="AZ41" s="95"/>
      <c r="BA41" s="95"/>
      <c r="BB41" s="95"/>
      <c r="BC41" s="95"/>
      <c r="BD41" s="95"/>
      <c r="BE41" s="95"/>
      <c r="BF41" s="95"/>
      <c r="BG41" s="95"/>
      <c r="BH41" s="95"/>
      <c r="BI41" s="95"/>
      <c r="BJ41" s="95"/>
    </row>
    <row r="42" spans="1:17">
      <c r="A42" s="6" t="s">
        <v>94</v>
      </c>
      <c r="B42" s="6"/>
      <c r="C42" s="6"/>
      <c r="D42" s="6"/>
      <c r="E42" s="54">
        <v>0.3</v>
      </c>
      <c r="F42" s="54">
        <v>0.46</v>
      </c>
      <c r="G42" s="54">
        <v>0.72</v>
      </c>
      <c r="H42" s="54">
        <v>1.95</v>
      </c>
      <c r="I42" s="54">
        <v>3.88</v>
      </c>
      <c r="J42" s="91">
        <f>J11*(1-J33/100)</f>
        <v>6.58503</v>
      </c>
      <c r="K42" s="91">
        <f t="shared" ref="K42:P42" si="22">K11*(1-K33/100)</f>
        <v>7.292311</v>
      </c>
      <c r="L42" s="91">
        <f t="shared" si="22"/>
        <v>9.11538875</v>
      </c>
      <c r="M42" s="91">
        <f t="shared" si="22"/>
        <v>10.231112333</v>
      </c>
      <c r="N42" s="91">
        <f t="shared" si="22"/>
        <v>12.2328517025</v>
      </c>
      <c r="O42" s="91">
        <f t="shared" si="22"/>
        <v>14.5960162359375</v>
      </c>
      <c r="P42" s="91">
        <f t="shared" si="22"/>
        <v>17.515219483125</v>
      </c>
      <c r="Q42" s="53"/>
    </row>
    <row r="43" spans="1:17">
      <c r="A43" s="34" t="s">
        <v>83</v>
      </c>
      <c r="B43" s="34"/>
      <c r="C43" s="34"/>
      <c r="D43" s="34"/>
      <c r="E43" s="52"/>
      <c r="F43" s="70">
        <f>F42/E42-1</f>
        <v>0.533333333333333</v>
      </c>
      <c r="G43" s="70">
        <f t="shared" ref="G43:P43" si="23">G42/F42-1</f>
        <v>0.565217391304348</v>
      </c>
      <c r="H43" s="70">
        <f t="shared" si="23"/>
        <v>1.70833333333333</v>
      </c>
      <c r="I43" s="70">
        <f t="shared" si="23"/>
        <v>0.98974358974359</v>
      </c>
      <c r="J43" s="70">
        <f t="shared" si="23"/>
        <v>0.697172680412371</v>
      </c>
      <c r="K43" s="70">
        <f t="shared" si="23"/>
        <v>0.107407407407407</v>
      </c>
      <c r="L43" s="70">
        <f t="shared" si="23"/>
        <v>0.25</v>
      </c>
      <c r="M43" s="70">
        <f t="shared" si="23"/>
        <v>0.1224</v>
      </c>
      <c r="N43" s="70">
        <f t="shared" si="23"/>
        <v>0.195652173913043</v>
      </c>
      <c r="O43" s="70">
        <f t="shared" si="23"/>
        <v>0.193181818181818</v>
      </c>
      <c r="P43" s="70">
        <f t="shared" si="23"/>
        <v>0.2</v>
      </c>
      <c r="Q43" s="53"/>
    </row>
    <row r="44" spans="1:17">
      <c r="A44" s="34" t="s">
        <v>102</v>
      </c>
      <c r="B44" s="34"/>
      <c r="C44" s="34"/>
      <c r="D44" s="34"/>
      <c r="E44" s="61">
        <f>E42/E40</f>
        <v>0.173410404624277</v>
      </c>
      <c r="F44" s="61">
        <f t="shared" ref="F44:P44" si="24">F42/F40</f>
        <v>0.133333333333333</v>
      </c>
      <c r="G44" s="61">
        <f t="shared" si="24"/>
        <v>0.131386861313869</v>
      </c>
      <c r="H44" s="61">
        <f t="shared" si="24"/>
        <v>0.25</v>
      </c>
      <c r="I44" s="61">
        <f t="shared" si="24"/>
        <v>0.357603686635945</v>
      </c>
      <c r="J44" s="92">
        <f t="shared" si="24"/>
        <v>0.54783200527314</v>
      </c>
      <c r="K44" s="92">
        <f t="shared" si="24"/>
        <v>0.577102959164222</v>
      </c>
      <c r="L44" s="92">
        <f t="shared" si="24"/>
        <v>0.601846791132385</v>
      </c>
      <c r="M44" s="92">
        <f t="shared" si="24"/>
        <v>0.599079281303052</v>
      </c>
      <c r="N44" s="92">
        <f t="shared" si="24"/>
        <v>0.587643804513315</v>
      </c>
      <c r="O44" s="92">
        <f t="shared" si="24"/>
        <v>0.58238462696428</v>
      </c>
      <c r="P44" s="92">
        <f t="shared" si="24"/>
        <v>0.586093656476559</v>
      </c>
      <c r="Q44" s="53"/>
    </row>
    <row r="45" spans="1:17">
      <c r="A45" s="6" t="s">
        <v>95</v>
      </c>
      <c r="B45" s="6"/>
      <c r="C45" s="6"/>
      <c r="D45" s="6"/>
      <c r="E45" s="54">
        <v>1.07</v>
      </c>
      <c r="F45" s="54">
        <v>2.66</v>
      </c>
      <c r="G45" s="54">
        <v>4.33</v>
      </c>
      <c r="H45" s="54">
        <v>5.24</v>
      </c>
      <c r="I45" s="54">
        <v>6.35</v>
      </c>
      <c r="J45" s="91">
        <f>J14*(1-J34/100)</f>
        <v>4.995648</v>
      </c>
      <c r="K45" s="91">
        <f t="shared" ref="K45:P45" si="25">K14*(1-K34/100)</f>
        <v>4.72088736</v>
      </c>
      <c r="L45" s="91">
        <f t="shared" si="25"/>
        <v>5.2734060288</v>
      </c>
      <c r="M45" s="91">
        <f t="shared" si="25"/>
        <v>5.938666481664</v>
      </c>
      <c r="N45" s="91">
        <f t="shared" si="25"/>
        <v>7.24517310763008</v>
      </c>
      <c r="O45" s="91">
        <f t="shared" si="25"/>
        <v>8.88741234535956</v>
      </c>
      <c r="P45" s="91">
        <f t="shared" si="25"/>
        <v>10.3712237978022</v>
      </c>
      <c r="Q45" s="53"/>
    </row>
    <row r="46" spans="1:17">
      <c r="A46" s="34" t="s">
        <v>83</v>
      </c>
      <c r="B46" s="34"/>
      <c r="C46" s="34"/>
      <c r="D46" s="34"/>
      <c r="E46" s="34"/>
      <c r="F46" s="61">
        <f>F45/E45-1</f>
        <v>1.48598130841122</v>
      </c>
      <c r="G46" s="61">
        <f t="shared" ref="G46:P46" si="26">G45/F45-1</f>
        <v>0.62781954887218</v>
      </c>
      <c r="H46" s="61">
        <f t="shared" si="26"/>
        <v>0.210161662817552</v>
      </c>
      <c r="I46" s="61">
        <f t="shared" si="26"/>
        <v>0.211832061068702</v>
      </c>
      <c r="J46" s="61">
        <f t="shared" si="26"/>
        <v>-0.213283779527559</v>
      </c>
      <c r="K46" s="61">
        <f t="shared" si="26"/>
        <v>-0.055</v>
      </c>
      <c r="L46" s="61">
        <f t="shared" si="26"/>
        <v>0.117037037037037</v>
      </c>
      <c r="M46" s="61">
        <f t="shared" si="26"/>
        <v>0.126153846153846</v>
      </c>
      <c r="N46" s="61">
        <f t="shared" si="26"/>
        <v>0.22</v>
      </c>
      <c r="O46" s="61">
        <f t="shared" si="26"/>
        <v>0.226666666666667</v>
      </c>
      <c r="P46" s="61">
        <f t="shared" si="26"/>
        <v>0.16695652173913</v>
      </c>
      <c r="Q46" s="53"/>
    </row>
    <row r="47" spans="1:17">
      <c r="A47" s="34" t="s">
        <v>102</v>
      </c>
      <c r="B47" s="34"/>
      <c r="C47" s="34"/>
      <c r="D47" s="34"/>
      <c r="E47" s="61">
        <f>E45/E40</f>
        <v>0.61849710982659</v>
      </c>
      <c r="F47" s="61">
        <f t="shared" ref="F47:P47" si="27">F45/F40</f>
        <v>0.771014492753623</v>
      </c>
      <c r="G47" s="61">
        <f t="shared" si="27"/>
        <v>0.79014598540146</v>
      </c>
      <c r="H47" s="61">
        <f t="shared" si="27"/>
        <v>0.671794871794872</v>
      </c>
      <c r="I47" s="61">
        <f t="shared" si="27"/>
        <v>0.585253456221198</v>
      </c>
      <c r="J47" s="92">
        <f t="shared" si="27"/>
        <v>0.415605678558602</v>
      </c>
      <c r="K47" s="92">
        <f t="shared" si="27"/>
        <v>0.373604206586495</v>
      </c>
      <c r="L47" s="92">
        <f t="shared" si="27"/>
        <v>0.348178512602817</v>
      </c>
      <c r="M47" s="92">
        <f t="shared" si="27"/>
        <v>0.347736583465953</v>
      </c>
      <c r="N47" s="92">
        <f t="shared" si="27"/>
        <v>0.348044854369908</v>
      </c>
      <c r="O47" s="92">
        <f t="shared" si="27"/>
        <v>0.354609931899512</v>
      </c>
      <c r="P47" s="92">
        <f t="shared" si="27"/>
        <v>0.347041524866241</v>
      </c>
      <c r="Q47" s="53"/>
    </row>
    <row r="48" spans="1:16">
      <c r="A48" s="6" t="s">
        <v>96</v>
      </c>
      <c r="B48" s="6"/>
      <c r="C48" s="6"/>
      <c r="D48" s="6"/>
      <c r="E48" s="54">
        <v>0.3</v>
      </c>
      <c r="F48" s="54">
        <v>0.24</v>
      </c>
      <c r="G48" s="54">
        <v>0.35</v>
      </c>
      <c r="H48" s="54">
        <v>0.49</v>
      </c>
      <c r="I48" s="93">
        <f>I17*(1-I35/100)</f>
        <v>0.4758</v>
      </c>
      <c r="J48" s="94">
        <f t="shared" ref="J48:P48" si="28">J17*(1-J35/100)</f>
        <v>0.33306</v>
      </c>
      <c r="K48" s="94">
        <f t="shared" si="28"/>
        <v>0.441945</v>
      </c>
      <c r="L48" s="94">
        <f t="shared" si="28"/>
        <v>0.5126562</v>
      </c>
      <c r="M48" s="94">
        <f t="shared" si="28"/>
        <v>0.61518744</v>
      </c>
      <c r="N48" s="94">
        <f t="shared" si="28"/>
        <v>0.7259211792</v>
      </c>
      <c r="O48" s="94">
        <f t="shared" si="28"/>
        <v>0.813031720704</v>
      </c>
      <c r="P48" s="94">
        <f t="shared" si="28"/>
        <v>1.04068060250112</v>
      </c>
    </row>
    <row r="49" spans="1:16">
      <c r="A49" s="34" t="s">
        <v>83</v>
      </c>
      <c r="B49" s="34"/>
      <c r="C49" s="34"/>
      <c r="D49" s="34"/>
      <c r="E49" s="52"/>
      <c r="F49" s="70">
        <f>F48/E48-1</f>
        <v>-0.2</v>
      </c>
      <c r="G49" s="70">
        <f t="shared" ref="G49:P49" si="29">G48/F48-1</f>
        <v>0.458333333333333</v>
      </c>
      <c r="H49" s="70">
        <f t="shared" si="29"/>
        <v>0.4</v>
      </c>
      <c r="I49" s="70">
        <f t="shared" si="29"/>
        <v>-0.0289795918367347</v>
      </c>
      <c r="J49" s="70">
        <f t="shared" si="29"/>
        <v>-0.3</v>
      </c>
      <c r="K49" s="70">
        <f t="shared" si="29"/>
        <v>0.326923076923077</v>
      </c>
      <c r="L49" s="70">
        <f t="shared" si="29"/>
        <v>0.16</v>
      </c>
      <c r="M49" s="70">
        <f t="shared" si="29"/>
        <v>0.2</v>
      </c>
      <c r="N49" s="70">
        <f t="shared" si="29"/>
        <v>0.18</v>
      </c>
      <c r="O49" s="70">
        <f t="shared" si="29"/>
        <v>0.12</v>
      </c>
      <c r="P49" s="70">
        <f t="shared" si="29"/>
        <v>0.28</v>
      </c>
    </row>
    <row r="50" spans="1:16">
      <c r="A50" s="34" t="s">
        <v>102</v>
      </c>
      <c r="B50" s="34"/>
      <c r="C50" s="34"/>
      <c r="D50" s="34"/>
      <c r="E50" s="61">
        <f>E48/E40</f>
        <v>0.173410404624277</v>
      </c>
      <c r="F50" s="61">
        <f t="shared" ref="F50:P50" si="30">F48/F40</f>
        <v>0.0695652173913043</v>
      </c>
      <c r="G50" s="61">
        <f t="shared" si="30"/>
        <v>0.0638686131386861</v>
      </c>
      <c r="H50" s="61">
        <f t="shared" si="30"/>
        <v>0.0628205128205128</v>
      </c>
      <c r="I50" s="61">
        <f t="shared" si="30"/>
        <v>0.043852534562212</v>
      </c>
      <c r="J50" s="61">
        <f t="shared" si="30"/>
        <v>0.027708442888836</v>
      </c>
      <c r="K50" s="61">
        <f t="shared" si="30"/>
        <v>0.0349748889327172</v>
      </c>
      <c r="L50" s="61">
        <f t="shared" si="30"/>
        <v>0.0338483083263039</v>
      </c>
      <c r="M50" s="61">
        <f t="shared" si="30"/>
        <v>0.0360220900158759</v>
      </c>
      <c r="N50" s="61">
        <f t="shared" si="30"/>
        <v>0.0348719247070329</v>
      </c>
      <c r="O50" s="61">
        <f t="shared" si="30"/>
        <v>0.0324401650230086</v>
      </c>
      <c r="P50" s="61">
        <f t="shared" si="30"/>
        <v>0.0348232176097908</v>
      </c>
    </row>
    <row r="51" spans="1:16">
      <c r="A51" s="6" t="s">
        <v>98</v>
      </c>
      <c r="B51" s="6"/>
      <c r="C51" s="6"/>
      <c r="D51" s="6"/>
      <c r="E51" s="81"/>
      <c r="F51" s="54">
        <v>0.08</v>
      </c>
      <c r="G51" s="54">
        <v>0.09</v>
      </c>
      <c r="H51" s="54">
        <v>0.08</v>
      </c>
      <c r="I51" s="81" t="s">
        <v>103</v>
      </c>
      <c r="J51" s="39">
        <f>J20*(1-J36/100)</f>
        <v>0.106425</v>
      </c>
      <c r="K51" s="39">
        <f t="shared" ref="K51:P51" si="31">K20*(1-K36/100)</f>
        <v>0.1809225</v>
      </c>
      <c r="L51" s="39">
        <f t="shared" si="31"/>
        <v>0.244245375</v>
      </c>
      <c r="M51" s="39">
        <f t="shared" si="31"/>
        <v>0.29309445</v>
      </c>
      <c r="N51" s="39">
        <f t="shared" si="31"/>
        <v>0.61283385</v>
      </c>
      <c r="O51" s="39">
        <f t="shared" si="31"/>
        <v>0.7660423125</v>
      </c>
      <c r="P51" s="39">
        <f t="shared" si="31"/>
        <v>0.957552890625</v>
      </c>
    </row>
    <row r="52" spans="1:16">
      <c r="A52" s="34" t="s">
        <v>83</v>
      </c>
      <c r="B52" s="34"/>
      <c r="C52" s="34"/>
      <c r="D52" s="34"/>
      <c r="E52" s="52"/>
      <c r="F52" s="52"/>
      <c r="G52" s="61">
        <f>G51/F51-1</f>
        <v>0.125</v>
      </c>
      <c r="H52" s="61">
        <f t="shared" ref="H52:P52" si="32">H51/G51-1</f>
        <v>-0.111111111111111</v>
      </c>
      <c r="I52" s="61">
        <f t="shared" si="32"/>
        <v>-1</v>
      </c>
      <c r="J52" s="61"/>
      <c r="K52" s="61">
        <f t="shared" si="32"/>
        <v>0.7</v>
      </c>
      <c r="L52" s="61">
        <f t="shared" si="32"/>
        <v>0.35</v>
      </c>
      <c r="M52" s="61">
        <f t="shared" si="32"/>
        <v>0.2</v>
      </c>
      <c r="N52" s="61">
        <f t="shared" si="32"/>
        <v>1.09090909090909</v>
      </c>
      <c r="O52" s="61">
        <f t="shared" si="32"/>
        <v>0.25</v>
      </c>
      <c r="P52" s="61">
        <f t="shared" si="32"/>
        <v>0.25</v>
      </c>
    </row>
    <row r="53" spans="1:16">
      <c r="A53" s="34" t="s">
        <v>102</v>
      </c>
      <c r="B53" s="34"/>
      <c r="C53" s="34"/>
      <c r="D53" s="34"/>
      <c r="E53"/>
      <c r="F53" s="61">
        <f>F51/F40</f>
        <v>0.0231884057971014</v>
      </c>
      <c r="G53" s="61">
        <f t="shared" ref="G53:P53" si="33">G51/G40</f>
        <v>0.0164233576642336</v>
      </c>
      <c r="H53" s="61">
        <f t="shared" si="33"/>
        <v>0.0102564102564103</v>
      </c>
      <c r="I53" s="61">
        <f t="shared" si="33"/>
        <v>0</v>
      </c>
      <c r="J53" s="61">
        <f t="shared" si="33"/>
        <v>0.00885387327942225</v>
      </c>
      <c r="K53" s="61">
        <f t="shared" si="33"/>
        <v>0.0143179453165655</v>
      </c>
      <c r="L53" s="61">
        <f t="shared" si="33"/>
        <v>0.0161263879384932</v>
      </c>
      <c r="M53" s="61">
        <f t="shared" si="33"/>
        <v>0.0171620452151195</v>
      </c>
      <c r="N53" s="61">
        <f t="shared" si="33"/>
        <v>0.0294394164097439</v>
      </c>
      <c r="O53" s="61">
        <f t="shared" si="33"/>
        <v>0.0305652761131991</v>
      </c>
      <c r="P53" s="61">
        <f t="shared" si="33"/>
        <v>0.0320416010474095</v>
      </c>
    </row>
    <row r="54" spans="1:16">
      <c r="A54" s="34"/>
      <c r="B54" s="34"/>
      <c r="C54" s="34"/>
      <c r="D54" s="34"/>
      <c r="E54"/>
      <c r="F54"/>
      <c r="G54"/>
      <c r="H54"/>
      <c r="I54" s="1"/>
      <c r="J54"/>
      <c r="K54"/>
      <c r="L54"/>
      <c r="M54"/>
      <c r="N54"/>
      <c r="O54"/>
      <c r="P54"/>
    </row>
    <row r="55" spans="1:16">
      <c r="A55" s="34"/>
      <c r="B55" s="34"/>
      <c r="C55" s="34"/>
      <c r="D55" s="34"/>
      <c r="E55" s="53"/>
      <c r="F55" s="53"/>
      <c r="G55" s="53"/>
      <c r="H55" s="53"/>
      <c r="J55" s="34"/>
      <c r="K55" s="34"/>
      <c r="L55" s="34"/>
      <c r="M55" s="34"/>
      <c r="N55" s="34"/>
      <c r="O55" s="34"/>
      <c r="P55" s="34"/>
    </row>
    <row r="56" spans="1:17">
      <c r="A56" s="34" t="s">
        <v>94</v>
      </c>
      <c r="B56" s="34"/>
      <c r="C56" s="34"/>
      <c r="D56" s="34"/>
      <c r="E56" s="53">
        <v>0.54</v>
      </c>
      <c r="F56" s="53">
        <v>0.64</v>
      </c>
      <c r="G56" s="53">
        <v>0.83</v>
      </c>
      <c r="H56" s="53">
        <v>1.87</v>
      </c>
      <c r="I56" s="53">
        <v>4.53</v>
      </c>
      <c r="J56" s="39">
        <f>J11*J33/100</f>
        <v>5.60947</v>
      </c>
      <c r="K56" s="39">
        <f t="shared" ref="K56:P56" si="34">K11*K33/100</f>
        <v>6.731364</v>
      </c>
      <c r="L56" s="39">
        <f t="shared" si="34"/>
        <v>9.11538875</v>
      </c>
      <c r="M56" s="39">
        <f t="shared" si="34"/>
        <v>12.010436217</v>
      </c>
      <c r="N56" s="39">
        <f t="shared" si="34"/>
        <v>15.569083985</v>
      </c>
      <c r="O56" s="39">
        <f t="shared" si="34"/>
        <v>20.1564033734375</v>
      </c>
      <c r="P56" s="39">
        <f t="shared" si="34"/>
        <v>24.187684048125</v>
      </c>
      <c r="Q56" s="53"/>
    </row>
    <row r="57" spans="1:17">
      <c r="A57" s="34" t="s">
        <v>95</v>
      </c>
      <c r="B57" s="34"/>
      <c r="C57" s="34"/>
      <c r="D57" s="34"/>
      <c r="E57" s="53">
        <v>1.48</v>
      </c>
      <c r="F57" s="53">
        <v>3.15</v>
      </c>
      <c r="G57" s="53">
        <v>4.9</v>
      </c>
      <c r="H57" s="53">
        <v>6.16</v>
      </c>
      <c r="I57" s="53">
        <v>6.05</v>
      </c>
      <c r="J57" s="39">
        <f>J14-J45</f>
        <v>3.925152</v>
      </c>
      <c r="K57" s="39">
        <f t="shared" ref="K57:P57" si="35">K14-K45</f>
        <v>4.02149664</v>
      </c>
      <c r="L57" s="39">
        <f t="shared" si="35"/>
        <v>4.8677594112</v>
      </c>
      <c r="M57" s="39">
        <f t="shared" si="35"/>
        <v>6.433555355136</v>
      </c>
      <c r="N57" s="39">
        <f t="shared" si="35"/>
        <v>7.84893753326592</v>
      </c>
      <c r="O57" s="39">
        <f t="shared" si="35"/>
        <v>10.4330492749873</v>
      </c>
      <c r="P57" s="39">
        <f t="shared" si="35"/>
        <v>13.199739379021</v>
      </c>
      <c r="Q57" s="53"/>
    </row>
    <row r="58" spans="1:16">
      <c r="A58" s="34" t="s">
        <v>96</v>
      </c>
      <c r="B58" s="34"/>
      <c r="C58" s="34"/>
      <c r="D58" s="34"/>
      <c r="E58" s="53">
        <v>0.53</v>
      </c>
      <c r="F58" s="53">
        <v>0.41</v>
      </c>
      <c r="G58" s="53">
        <v>0.47</v>
      </c>
      <c r="H58" s="53">
        <v>0.62</v>
      </c>
      <c r="J58" s="39">
        <f>J17-J48</f>
        <v>0.52094</v>
      </c>
      <c r="K58" s="39">
        <f t="shared" ref="K58:P58" si="36">K17-K48</f>
        <v>0.540155</v>
      </c>
      <c r="L58" s="39">
        <f t="shared" si="36"/>
        <v>0.6265798</v>
      </c>
      <c r="M58" s="39">
        <f t="shared" si="36"/>
        <v>0.75189576</v>
      </c>
      <c r="N58" s="39">
        <f t="shared" si="36"/>
        <v>0.8872369968</v>
      </c>
      <c r="O58" s="39">
        <f t="shared" si="36"/>
        <v>0.993705436416</v>
      </c>
      <c r="P58" s="39">
        <f t="shared" si="36"/>
        <v>1.27194295861248</v>
      </c>
    </row>
    <row r="59" spans="1:16">
      <c r="A59" s="34" t="s">
        <v>98</v>
      </c>
      <c r="B59" s="34"/>
      <c r="C59" s="34"/>
      <c r="D59" s="34"/>
      <c r="F59" s="53">
        <v>0.03</v>
      </c>
      <c r="G59" s="53">
        <v>0.01</v>
      </c>
      <c r="H59" s="53">
        <v>-0.01</v>
      </c>
      <c r="J59" s="39">
        <f>J20-J51</f>
        <v>0.861075</v>
      </c>
      <c r="K59" s="39">
        <f t="shared" ref="K59:P59" si="37">K20-K51</f>
        <v>1.4638275</v>
      </c>
      <c r="L59" s="39">
        <f t="shared" si="37"/>
        <v>1.976167125</v>
      </c>
      <c r="M59" s="39">
        <f t="shared" si="37"/>
        <v>2.37140055</v>
      </c>
      <c r="N59" s="39">
        <f t="shared" si="37"/>
        <v>2.4513354</v>
      </c>
      <c r="O59" s="39">
        <f t="shared" si="37"/>
        <v>3.06416925</v>
      </c>
      <c r="P59" s="39">
        <f t="shared" si="37"/>
        <v>3.8302115625</v>
      </c>
    </row>
    <row r="60" spans="1:16">
      <c r="A60" s="34" t="s">
        <v>104</v>
      </c>
      <c r="B60" s="34"/>
      <c r="C60" s="34"/>
      <c r="D60" s="34"/>
      <c r="E60" s="53">
        <v>0.04</v>
      </c>
      <c r="F60" s="53">
        <v>0</v>
      </c>
      <c r="G60" s="53">
        <v>0.01</v>
      </c>
      <c r="H60" s="53">
        <v>0.03</v>
      </c>
      <c r="J60" s="34"/>
      <c r="K60" s="34"/>
      <c r="L60" s="34"/>
      <c r="M60" s="34"/>
      <c r="N60" s="34"/>
      <c r="O60" s="34"/>
      <c r="P60" s="34"/>
    </row>
    <row r="61" spans="1:18">
      <c r="A61" s="34" t="s">
        <v>105</v>
      </c>
      <c r="B61" s="34"/>
      <c r="C61" s="34"/>
      <c r="D61" s="34"/>
      <c r="E61" s="53">
        <v>2.59</v>
      </c>
      <c r="F61" s="53">
        <v>4.24</v>
      </c>
      <c r="G61" s="53">
        <v>6.23</v>
      </c>
      <c r="H61" s="53">
        <v>8.67</v>
      </c>
      <c r="I61" s="53">
        <v>11.6</v>
      </c>
      <c r="J61" s="39">
        <f>SUM(J56:J60)</f>
        <v>10.916637</v>
      </c>
      <c r="K61" s="39">
        <f t="shared" ref="K61:P61" si="38">SUM(K56:K60)</f>
        <v>12.75684314</v>
      </c>
      <c r="L61" s="39">
        <f t="shared" si="38"/>
        <v>16.5858950862</v>
      </c>
      <c r="M61" s="39">
        <f t="shared" si="38"/>
        <v>21.567287882136</v>
      </c>
      <c r="N61" s="39">
        <f t="shared" si="38"/>
        <v>26.7565939150659</v>
      </c>
      <c r="O61" s="39">
        <f t="shared" si="38"/>
        <v>34.6473273348408</v>
      </c>
      <c r="P61" s="39">
        <f t="shared" si="38"/>
        <v>42.4895779482585</v>
      </c>
      <c r="Q61" s="53"/>
      <c r="R61" s="53"/>
    </row>
    <row r="62" spans="1:17">
      <c r="A62" s="34"/>
      <c r="B62" s="34"/>
      <c r="C62" s="34"/>
      <c r="D62" s="34"/>
      <c r="F62" s="53"/>
      <c r="G62" s="53"/>
      <c r="H62" s="53"/>
      <c r="I62" s="53"/>
      <c r="J62" s="34"/>
      <c r="K62" s="34"/>
      <c r="L62" s="34"/>
      <c r="M62" s="34"/>
      <c r="N62" s="34"/>
      <c r="O62" s="34"/>
      <c r="P62" s="34"/>
      <c r="Q62" s="53"/>
    </row>
    <row r="63" spans="1:16">
      <c r="A63" s="34"/>
      <c r="B63" s="34"/>
      <c r="C63" s="34"/>
      <c r="D63" s="34"/>
      <c r="F63" s="53"/>
      <c r="G63" s="53"/>
      <c r="H63" s="53"/>
      <c r="J63" s="34"/>
      <c r="K63" s="34"/>
      <c r="L63" s="34"/>
      <c r="M63" s="34"/>
      <c r="N63" s="34"/>
      <c r="O63" s="34"/>
      <c r="P63" s="34"/>
    </row>
    <row r="64" spans="1:17">
      <c r="A64" s="34"/>
      <c r="B64" s="34"/>
      <c r="C64" s="34"/>
      <c r="D64" s="34"/>
      <c r="F64" s="53"/>
      <c r="G64" s="53"/>
      <c r="H64" s="53"/>
      <c r="I64" s="53"/>
      <c r="J64" s="34"/>
      <c r="K64" s="34"/>
      <c r="L64" s="34"/>
      <c r="M64" s="34"/>
      <c r="N64" s="34"/>
      <c r="O64" s="34"/>
      <c r="P64" s="34"/>
      <c r="Q64" s="53"/>
    </row>
    <row r="65" spans="1:17">
      <c r="A65" s="34"/>
      <c r="B65" s="34"/>
      <c r="C65" s="34"/>
      <c r="D65" s="34"/>
      <c r="F65" s="53"/>
      <c r="G65" s="53"/>
      <c r="H65" s="53"/>
      <c r="I65" s="53"/>
      <c r="J65" s="34"/>
      <c r="K65" s="34"/>
      <c r="L65" s="34"/>
      <c r="M65" s="34"/>
      <c r="N65" s="34"/>
      <c r="O65" s="34"/>
      <c r="P65" s="34"/>
      <c r="Q65" s="53"/>
    </row>
    <row r="66" spans="1:17">
      <c r="A66" s="34"/>
      <c r="B66" s="34"/>
      <c r="C66" s="34"/>
      <c r="D66" s="34"/>
      <c r="F66" s="53"/>
      <c r="G66" s="53"/>
      <c r="H66" s="53"/>
      <c r="I66" s="53"/>
      <c r="J66" s="34"/>
      <c r="K66" s="34"/>
      <c r="L66" s="34"/>
      <c r="M66" s="34"/>
      <c r="N66" s="34"/>
      <c r="O66" s="34"/>
      <c r="P66" s="34"/>
      <c r="Q66" s="53"/>
    </row>
    <row r="67" spans="1:16">
      <c r="A67" s="34"/>
      <c r="B67" s="34"/>
      <c r="C67" s="34"/>
      <c r="D67" s="34"/>
      <c r="F67" s="53"/>
      <c r="G67" s="53"/>
      <c r="H67" s="53"/>
      <c r="J67" s="34"/>
      <c r="K67" s="34"/>
      <c r="L67" s="34"/>
      <c r="M67" s="34"/>
      <c r="N67" s="34"/>
      <c r="O67" s="34"/>
      <c r="P67" s="34"/>
    </row>
    <row r="68" spans="1:18">
      <c r="A68" s="34"/>
      <c r="B68" s="34"/>
      <c r="C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</row>
    <row r="69" spans="1:18">
      <c r="A69" s="34"/>
      <c r="B69" s="34"/>
      <c r="C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</row>
    <row r="70" spans="1:18">
      <c r="A70" s="34"/>
      <c r="B70" s="34"/>
      <c r="C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</row>
    <row r="71" spans="1:18">
      <c r="A71" s="34"/>
      <c r="B71" s="34"/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</row>
    <row r="72" spans="11:16">
      <c r="K72" s="34"/>
      <c r="L72" s="34"/>
      <c r="M72" s="34"/>
      <c r="N72" s="34"/>
      <c r="O72" s="34"/>
      <c r="P72" s="34"/>
    </row>
    <row r="75" spans="1:4">
      <c r="A75" s="34"/>
      <c r="B75" s="34"/>
      <c r="C75" s="34"/>
      <c r="D75" s="34"/>
    </row>
    <row r="76" spans="1:4">
      <c r="A76" s="96"/>
      <c r="B76" s="96"/>
      <c r="C76" s="96"/>
      <c r="D76" s="96"/>
    </row>
  </sheetData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2"/>
  <sheetViews>
    <sheetView topLeftCell="B1" workbookViewId="0">
      <selection activeCell="AD59" sqref="AD59"/>
    </sheetView>
  </sheetViews>
  <sheetFormatPr defaultColWidth="9" defaultRowHeight="13.5" outlineLevelRow="1"/>
  <cols>
    <col min="1" max="1" width="21.75" customWidth="1"/>
  </cols>
  <sheetData>
    <row r="1" spans="3:9">
      <c r="C1">
        <v>2012</v>
      </c>
      <c r="D1">
        <v>2013</v>
      </c>
      <c r="E1">
        <v>2014</v>
      </c>
      <c r="F1">
        <v>2015</v>
      </c>
      <c r="G1">
        <v>2016</v>
      </c>
      <c r="H1">
        <v>2017</v>
      </c>
      <c r="I1">
        <v>2018</v>
      </c>
    </row>
    <row r="2" ht="14.25" spans="1:9">
      <c r="A2" s="48" t="s">
        <v>106</v>
      </c>
      <c r="B2" s="33"/>
      <c r="C2" s="33" t="s">
        <v>107</v>
      </c>
      <c r="D2" s="33" t="s">
        <v>108</v>
      </c>
      <c r="E2" s="33" t="s">
        <v>109</v>
      </c>
      <c r="F2" s="33" t="s">
        <v>110</v>
      </c>
      <c r="G2" s="33" t="s">
        <v>111</v>
      </c>
      <c r="H2" s="33" t="s">
        <v>112</v>
      </c>
      <c r="I2" s="33" t="s">
        <v>113</v>
      </c>
    </row>
  </sheetData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Q4"/>
  <sheetViews>
    <sheetView workbookViewId="0">
      <selection activeCell="D30" sqref="D30"/>
    </sheetView>
  </sheetViews>
  <sheetFormatPr defaultColWidth="9" defaultRowHeight="13.5" outlineLevelRow="3"/>
  <sheetData>
    <row r="4" spans="17:17">
      <c r="Q4" s="79"/>
    </row>
  </sheetData>
  <pageMargins left="0.75" right="0.75" top="1" bottom="1" header="0.5" footer="0.5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Y66"/>
  <sheetViews>
    <sheetView showGridLines="0" workbookViewId="0">
      <pane xSplit="6" ySplit="3" topLeftCell="G7" activePane="bottomRight" state="frozen"/>
      <selection/>
      <selection pane="topRight"/>
      <selection pane="bottomLeft"/>
      <selection pane="bottomRight" activeCell="J28" sqref="J28"/>
    </sheetView>
  </sheetViews>
  <sheetFormatPr defaultColWidth="9" defaultRowHeight="18" customHeight="1"/>
  <cols>
    <col min="1" max="1" width="52.7166666666667" style="48"/>
    <col min="2" max="4" width="10.625" style="33" customWidth="1" outlineLevel="1"/>
    <col min="5" max="13" width="10.625" style="33" customWidth="1"/>
    <col min="14" max="14" width="10.625" customWidth="1"/>
    <col min="15" max="22" width="10.625" style="71" hidden="1" customWidth="1" outlineLevel="1"/>
    <col min="23" max="23" width="10.625" style="71" customWidth="1" collapsed="1"/>
    <col min="24" max="25" width="10.625" style="71" customWidth="1"/>
  </cols>
  <sheetData>
    <row r="2" customHeight="1" spans="1:1">
      <c r="A2" s="48" t="s">
        <v>114</v>
      </c>
    </row>
    <row r="3" customHeight="1" spans="2:25">
      <c r="B3" s="34">
        <v>2014</v>
      </c>
      <c r="C3" s="34">
        <v>2015</v>
      </c>
      <c r="D3" s="34">
        <v>2016</v>
      </c>
      <c r="E3" s="34">
        <v>2017</v>
      </c>
      <c r="F3" s="34">
        <v>2018</v>
      </c>
      <c r="G3" s="34">
        <v>2019</v>
      </c>
      <c r="H3" s="34">
        <v>2020</v>
      </c>
      <c r="I3" s="34">
        <v>2021</v>
      </c>
      <c r="J3" s="34">
        <v>2022</v>
      </c>
      <c r="K3" s="34">
        <v>2023</v>
      </c>
      <c r="L3" s="34">
        <v>2024</v>
      </c>
      <c r="M3" s="34">
        <v>2025</v>
      </c>
      <c r="O3" s="34" t="s">
        <v>115</v>
      </c>
      <c r="P3" s="34" t="s">
        <v>116</v>
      </c>
      <c r="Q3" s="34" t="s">
        <v>117</v>
      </c>
      <c r="R3" s="34" t="s">
        <v>118</v>
      </c>
      <c r="S3" s="34" t="s">
        <v>119</v>
      </c>
      <c r="T3" s="34" t="s">
        <v>120</v>
      </c>
      <c r="U3" s="34" t="s">
        <v>121</v>
      </c>
      <c r="V3" s="34" t="s">
        <v>122</v>
      </c>
      <c r="W3" s="34" t="s">
        <v>123</v>
      </c>
      <c r="X3" s="34" t="s">
        <v>124</v>
      </c>
      <c r="Y3" s="34" t="s">
        <v>125</v>
      </c>
    </row>
    <row r="4" customHeight="1" spans="1:25">
      <c r="A4" s="52" t="s">
        <v>88</v>
      </c>
      <c r="B4" s="54">
        <v>4.32</v>
      </c>
      <c r="C4" s="54">
        <v>7.69</v>
      </c>
      <c r="D4" s="54">
        <v>11.71</v>
      </c>
      <c r="E4" s="54">
        <v>16.46</v>
      </c>
      <c r="F4" s="54">
        <v>22.45</v>
      </c>
      <c r="G4" s="72">
        <f>业务模型!J23</f>
        <v>22.9368</v>
      </c>
      <c r="H4" s="72">
        <f>业务模型!K23</f>
        <v>25.392909</v>
      </c>
      <c r="I4" s="72">
        <f>业务模型!L23</f>
        <v>31.73159144</v>
      </c>
      <c r="J4" s="72">
        <f>业务模型!M23</f>
        <v>38.6453485868</v>
      </c>
      <c r="K4" s="72">
        <f>业务模型!N23</f>
        <v>47.573373754396</v>
      </c>
      <c r="L4" s="72">
        <f>业务模型!O23</f>
        <v>59.7098299493419</v>
      </c>
      <c r="M4" s="72">
        <f>业务模型!P23</f>
        <v>72.3742547223118</v>
      </c>
      <c r="O4" s="53">
        <v>2.69</v>
      </c>
      <c r="P4" s="53">
        <v>3.53</v>
      </c>
      <c r="Q4" s="53">
        <v>4.35</v>
      </c>
      <c r="R4" s="53">
        <v>5.89</v>
      </c>
      <c r="S4" s="53">
        <v>3.82</v>
      </c>
      <c r="T4" s="53">
        <v>5.99</v>
      </c>
      <c r="U4" s="53">
        <v>6.25</v>
      </c>
      <c r="V4" s="53">
        <v>6.39</v>
      </c>
      <c r="W4" s="53">
        <v>3.86</v>
      </c>
      <c r="X4" s="53">
        <v>5.87</v>
      </c>
      <c r="Y4" s="53">
        <v>6.04</v>
      </c>
    </row>
    <row r="5" customHeight="1" spans="1:25">
      <c r="A5" s="52" t="s">
        <v>83</v>
      </c>
      <c r="B5" s="53"/>
      <c r="C5" s="73">
        <f>C4/B4-1</f>
        <v>0.780092592592593</v>
      </c>
      <c r="D5" s="73">
        <f t="shared" ref="D5:M5" si="0">D4/C4-1</f>
        <v>0.522756827048114</v>
      </c>
      <c r="E5" s="73">
        <f t="shared" si="0"/>
        <v>0.405636208368915</v>
      </c>
      <c r="F5" s="73">
        <f t="shared" si="0"/>
        <v>0.363912515188335</v>
      </c>
      <c r="G5" s="74">
        <f t="shared" si="0"/>
        <v>0.0216837416481068</v>
      </c>
      <c r="H5" s="74">
        <f t="shared" si="0"/>
        <v>0.107081589410903</v>
      </c>
      <c r="I5" s="74">
        <f t="shared" si="0"/>
        <v>0.249624115141751</v>
      </c>
      <c r="J5" s="74">
        <f t="shared" si="0"/>
        <v>0.217882458239542</v>
      </c>
      <c r="K5" s="74">
        <f t="shared" si="0"/>
        <v>0.231024573307783</v>
      </c>
      <c r="L5" s="74">
        <f t="shared" si="0"/>
        <v>0.255110269404099</v>
      </c>
      <c r="M5" s="74">
        <f t="shared" si="0"/>
        <v>0.212099494902505</v>
      </c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</row>
    <row r="6" customHeight="1" spans="1:25">
      <c r="A6" s="52" t="s">
        <v>126</v>
      </c>
      <c r="B6" s="53">
        <v>3.79</v>
      </c>
      <c r="C6" s="53">
        <v>6.89</v>
      </c>
      <c r="D6" s="53">
        <v>10.96</v>
      </c>
      <c r="E6" s="53">
        <v>14.85</v>
      </c>
      <c r="F6" s="53">
        <v>21.16</v>
      </c>
      <c r="G6" s="53">
        <f>G7+G8+G10+G12+G14+G16</f>
        <v>22.732175752</v>
      </c>
      <c r="H6" s="53">
        <f t="shared" ref="H6:M6" si="1">H7+H8+H10+H12+H14+H16</f>
        <v>24.53996609826</v>
      </c>
      <c r="I6" s="53">
        <f t="shared" si="1"/>
        <v>30.0364760646816</v>
      </c>
      <c r="J6" s="53">
        <f t="shared" si="1"/>
        <v>35.0871046604602</v>
      </c>
      <c r="K6" s="53">
        <f t="shared" si="1"/>
        <v>41.7111375735548</v>
      </c>
      <c r="L6" s="53">
        <f t="shared" si="1"/>
        <v>51.1949281887083</v>
      </c>
      <c r="M6" s="53">
        <f t="shared" si="1"/>
        <v>61.4242357191977</v>
      </c>
      <c r="O6" s="53">
        <v>2.39</v>
      </c>
      <c r="P6" s="53">
        <v>3.09</v>
      </c>
      <c r="Q6" s="53">
        <v>3.82</v>
      </c>
      <c r="R6" s="53">
        <v>5.55</v>
      </c>
      <c r="S6" s="53">
        <v>3.46</v>
      </c>
      <c r="T6" s="53">
        <v>5.57</v>
      </c>
      <c r="U6" s="53">
        <v>5.81</v>
      </c>
      <c r="V6" s="53">
        <v>6.31</v>
      </c>
      <c r="W6" s="53">
        <v>3.93</v>
      </c>
      <c r="X6" s="53">
        <v>5.91</v>
      </c>
      <c r="Y6" s="53">
        <v>6.04</v>
      </c>
    </row>
    <row r="7" customHeight="1" spans="1:25">
      <c r="A7" s="52" t="s">
        <v>127</v>
      </c>
      <c r="B7" s="53">
        <v>1.73</v>
      </c>
      <c r="C7" s="53">
        <v>3.45</v>
      </c>
      <c r="D7" s="53">
        <v>5.48</v>
      </c>
      <c r="E7" s="53">
        <v>7.8</v>
      </c>
      <c r="F7" s="53">
        <v>10.85</v>
      </c>
      <c r="G7" s="53">
        <f>业务模型!J40</f>
        <v>12.020163</v>
      </c>
      <c r="H7" s="53">
        <f>业务模型!K40</f>
        <v>12.63606586</v>
      </c>
      <c r="I7" s="53">
        <f>业务模型!L40</f>
        <v>15.1456963538</v>
      </c>
      <c r="J7" s="53">
        <f>业务模型!M40</f>
        <v>17.078060704664</v>
      </c>
      <c r="K7" s="53">
        <f>业务模型!N40</f>
        <v>20.8167798393301</v>
      </c>
      <c r="L7" s="53">
        <f>业务模型!O40</f>
        <v>25.0625026145011</v>
      </c>
      <c r="M7" s="53">
        <f>业务模型!P40</f>
        <v>29.8846767740533</v>
      </c>
      <c r="O7" s="53">
        <v>1.31</v>
      </c>
      <c r="P7" s="53">
        <v>1.58</v>
      </c>
      <c r="Q7" s="53">
        <v>2.05</v>
      </c>
      <c r="R7" s="53">
        <v>2.86</v>
      </c>
      <c r="S7" s="53">
        <v>1.71</v>
      </c>
      <c r="T7" s="53">
        <v>2.82</v>
      </c>
      <c r="U7" s="53">
        <v>3.01</v>
      </c>
      <c r="V7" s="53">
        <v>3.31</v>
      </c>
      <c r="W7" s="53">
        <v>1.9</v>
      </c>
      <c r="X7" s="53">
        <v>3.22</v>
      </c>
      <c r="Y7" s="53">
        <v>2.62</v>
      </c>
    </row>
    <row r="8" customHeight="1" spans="1:25">
      <c r="A8" s="52" t="s">
        <v>128</v>
      </c>
      <c r="B8" s="53">
        <v>0.04</v>
      </c>
      <c r="C8" s="53">
        <v>0.06</v>
      </c>
      <c r="D8" s="53">
        <v>0.1</v>
      </c>
      <c r="E8" s="53">
        <v>0.18</v>
      </c>
      <c r="F8" s="53">
        <v>0.15</v>
      </c>
      <c r="G8" s="53">
        <f>G4*G9</f>
        <v>0.1834944</v>
      </c>
      <c r="H8" s="53">
        <f t="shared" ref="H8:M8" si="2">H4*H9</f>
        <v>0.203143272</v>
      </c>
      <c r="I8" s="53">
        <f t="shared" si="2"/>
        <v>0.25385273152</v>
      </c>
      <c r="J8" s="53">
        <f t="shared" si="2"/>
        <v>0.3091627886944</v>
      </c>
      <c r="K8" s="53">
        <f t="shared" si="2"/>
        <v>0.380586990035168</v>
      </c>
      <c r="L8" s="53">
        <f t="shared" si="2"/>
        <v>0.477678639594735</v>
      </c>
      <c r="M8" s="53">
        <f t="shared" si="2"/>
        <v>0.578994037778494</v>
      </c>
      <c r="O8" s="53">
        <v>0.02</v>
      </c>
      <c r="P8" s="53">
        <v>0.06</v>
      </c>
      <c r="Q8" s="53">
        <v>0.05</v>
      </c>
      <c r="R8" s="53">
        <v>0.05</v>
      </c>
      <c r="S8" s="53">
        <v>0.03</v>
      </c>
      <c r="T8" s="53">
        <v>0.05</v>
      </c>
      <c r="U8" s="53">
        <v>0.03</v>
      </c>
      <c r="V8" s="53">
        <v>0.04</v>
      </c>
      <c r="W8" s="53">
        <v>0.02</v>
      </c>
      <c r="X8" s="53">
        <v>0.03</v>
      </c>
      <c r="Y8" s="53">
        <v>0.03</v>
      </c>
    </row>
    <row r="9" customHeight="1" spans="1:25">
      <c r="A9" s="52" t="s">
        <v>129</v>
      </c>
      <c r="B9" s="73">
        <f>B8/B4</f>
        <v>0.00925925925925926</v>
      </c>
      <c r="C9" s="73">
        <f>C8/C4</f>
        <v>0.00780234070221066</v>
      </c>
      <c r="D9" s="73">
        <f>D8/D4</f>
        <v>0.0085397096498719</v>
      </c>
      <c r="E9" s="73">
        <f>E8/E4</f>
        <v>0.0109356014580802</v>
      </c>
      <c r="F9" s="73">
        <f>F8/F4</f>
        <v>0.0066815144766147</v>
      </c>
      <c r="G9" s="73">
        <v>0.008</v>
      </c>
      <c r="H9" s="73">
        <f t="shared" ref="H9:M9" si="3">G9</f>
        <v>0.008</v>
      </c>
      <c r="I9" s="73">
        <f t="shared" si="3"/>
        <v>0.008</v>
      </c>
      <c r="J9" s="73">
        <f t="shared" si="3"/>
        <v>0.008</v>
      </c>
      <c r="K9" s="73">
        <f t="shared" si="3"/>
        <v>0.008</v>
      </c>
      <c r="L9" s="73">
        <f t="shared" si="3"/>
        <v>0.008</v>
      </c>
      <c r="M9" s="73">
        <f t="shared" si="3"/>
        <v>0.008</v>
      </c>
      <c r="O9" s="53"/>
      <c r="P9" s="53"/>
      <c r="Q9" s="53"/>
      <c r="R9" s="53"/>
      <c r="S9" s="53"/>
      <c r="T9" s="53"/>
      <c r="U9" s="53"/>
      <c r="V9" s="53"/>
      <c r="W9" s="53"/>
      <c r="X9" s="53"/>
      <c r="Y9" s="53"/>
    </row>
    <row r="10" customHeight="1" spans="1:25">
      <c r="A10" s="52" t="s">
        <v>130</v>
      </c>
      <c r="B10" s="53">
        <v>1.6</v>
      </c>
      <c r="C10" s="53">
        <v>2.37</v>
      </c>
      <c r="D10" s="53">
        <v>4.1</v>
      </c>
      <c r="E10" s="53">
        <v>5.59</v>
      </c>
      <c r="F10" s="53">
        <v>8.47</v>
      </c>
      <c r="G10" s="53">
        <f>G4*G11</f>
        <v>8.945352</v>
      </c>
      <c r="H10" s="53">
        <f t="shared" ref="H10:M10" si="4">H4*H11</f>
        <v>9.776269965</v>
      </c>
      <c r="I10" s="53">
        <f t="shared" si="4"/>
        <v>12.2166627044</v>
      </c>
      <c r="J10" s="53">
        <f t="shared" si="4"/>
        <v>14.49200572005</v>
      </c>
      <c r="K10" s="53">
        <f t="shared" si="4"/>
        <v>16.6506808140386</v>
      </c>
      <c r="L10" s="53">
        <f t="shared" si="4"/>
        <v>20.8984404822697</v>
      </c>
      <c r="M10" s="53">
        <f t="shared" si="4"/>
        <v>25.3309891528091</v>
      </c>
      <c r="O10" s="53">
        <v>0.83</v>
      </c>
      <c r="P10" s="53">
        <v>1.06</v>
      </c>
      <c r="Q10" s="53">
        <v>1.44</v>
      </c>
      <c r="R10" s="53">
        <v>2.26</v>
      </c>
      <c r="S10" s="53">
        <v>1.43</v>
      </c>
      <c r="T10" s="53">
        <v>2.27</v>
      </c>
      <c r="U10" s="53">
        <v>2.35</v>
      </c>
      <c r="V10" s="53">
        <v>2.42</v>
      </c>
      <c r="W10" s="53">
        <v>1.69</v>
      </c>
      <c r="X10" s="53">
        <v>2.14</v>
      </c>
      <c r="Y10" s="53">
        <v>2.94</v>
      </c>
    </row>
    <row r="11" customHeight="1" spans="1:25">
      <c r="A11" s="52" t="s">
        <v>129</v>
      </c>
      <c r="B11" s="73">
        <f>B10/B4</f>
        <v>0.37037037037037</v>
      </c>
      <c r="C11" s="73">
        <f>C10/C4</f>
        <v>0.308192457737321</v>
      </c>
      <c r="D11" s="73">
        <f>D10/D4</f>
        <v>0.350128095644748</v>
      </c>
      <c r="E11" s="73">
        <f>E10/E4</f>
        <v>0.339611178614824</v>
      </c>
      <c r="F11" s="73">
        <f>F10/F4</f>
        <v>0.37728285077951</v>
      </c>
      <c r="G11" s="73">
        <v>0.39</v>
      </c>
      <c r="H11" s="73">
        <v>0.385</v>
      </c>
      <c r="I11" s="73">
        <v>0.385</v>
      </c>
      <c r="J11" s="73">
        <v>0.375</v>
      </c>
      <c r="K11" s="73">
        <v>0.35</v>
      </c>
      <c r="L11" s="73">
        <v>0.35</v>
      </c>
      <c r="M11" s="73">
        <v>0.35</v>
      </c>
      <c r="O11" s="53"/>
      <c r="P11" s="53"/>
      <c r="Q11" s="53"/>
      <c r="R11" s="53"/>
      <c r="S11" s="53"/>
      <c r="T11" s="53"/>
      <c r="U11" s="53"/>
      <c r="V11" s="53"/>
      <c r="W11" s="53"/>
      <c r="X11" s="53"/>
      <c r="Y11" s="53"/>
    </row>
    <row r="12" customHeight="1" spans="1:25">
      <c r="A12" s="52" t="s">
        <v>131</v>
      </c>
      <c r="B12" s="53">
        <v>0.39</v>
      </c>
      <c r="C12" s="53">
        <v>1</v>
      </c>
      <c r="D12" s="53">
        <v>1.15</v>
      </c>
      <c r="E12" s="53">
        <v>1.14</v>
      </c>
      <c r="F12" s="53">
        <v>1.04</v>
      </c>
      <c r="G12" s="53">
        <f>G4*G13</f>
        <v>0.9633456</v>
      </c>
      <c r="H12" s="53">
        <f t="shared" ref="H12:M12" si="5">H4*H13</f>
        <v>1.066502178</v>
      </c>
      <c r="I12" s="53">
        <f t="shared" si="5"/>
        <v>1.2692636576</v>
      </c>
      <c r="J12" s="53">
        <f t="shared" si="5"/>
        <v>1.6231046406456</v>
      </c>
      <c r="K12" s="53">
        <f t="shared" si="5"/>
        <v>2.09322844519342</v>
      </c>
      <c r="L12" s="53">
        <f t="shared" si="5"/>
        <v>2.74665217766973</v>
      </c>
      <c r="M12" s="53">
        <f t="shared" si="5"/>
        <v>3.32921571722634</v>
      </c>
      <c r="O12" s="53">
        <v>0.23</v>
      </c>
      <c r="P12" s="53">
        <v>0.32</v>
      </c>
      <c r="Q12" s="53">
        <v>0.18</v>
      </c>
      <c r="R12" s="53">
        <v>0.59</v>
      </c>
      <c r="S12" s="53">
        <v>0.3</v>
      </c>
      <c r="T12" s="53">
        <v>0.37</v>
      </c>
      <c r="U12" s="53">
        <v>0.27</v>
      </c>
      <c r="V12" s="53">
        <v>0.31</v>
      </c>
      <c r="W12" s="53">
        <v>0.19</v>
      </c>
      <c r="X12" s="53">
        <v>0.33</v>
      </c>
      <c r="Y12" s="53">
        <v>0.28</v>
      </c>
    </row>
    <row r="13" customHeight="1" spans="1:25">
      <c r="A13" s="52" t="s">
        <v>129</v>
      </c>
      <c r="B13" s="73">
        <f>B12/B4</f>
        <v>0.0902777777777778</v>
      </c>
      <c r="C13" s="73">
        <f>C12/C4</f>
        <v>0.130039011703511</v>
      </c>
      <c r="D13" s="73">
        <f>D12/D4</f>
        <v>0.0982066609735269</v>
      </c>
      <c r="E13" s="73">
        <f>E12/E4</f>
        <v>0.0692588092345079</v>
      </c>
      <c r="F13" s="73">
        <f>F12/F4</f>
        <v>0.0463251670378619</v>
      </c>
      <c r="G13" s="73">
        <v>0.042</v>
      </c>
      <c r="H13" s="73">
        <v>0.042</v>
      </c>
      <c r="I13" s="73">
        <v>0.04</v>
      </c>
      <c r="J13" s="73">
        <v>0.042</v>
      </c>
      <c r="K13" s="73">
        <v>0.044</v>
      </c>
      <c r="L13" s="73">
        <v>0.046</v>
      </c>
      <c r="M13" s="73">
        <v>0.046</v>
      </c>
      <c r="O13" s="53"/>
      <c r="P13" s="53"/>
      <c r="Q13" s="53"/>
      <c r="R13" s="53"/>
      <c r="S13" s="53"/>
      <c r="T13" s="53"/>
      <c r="U13" s="53"/>
      <c r="V13" s="53"/>
      <c r="W13" s="53"/>
      <c r="X13" s="53"/>
      <c r="Y13" s="53"/>
    </row>
    <row r="14" customHeight="1" spans="1:25">
      <c r="A14" s="52" t="s">
        <v>132</v>
      </c>
      <c r="F14" s="53">
        <v>0.46</v>
      </c>
      <c r="G14" s="53">
        <f>G4*G15</f>
        <v>0.5046096</v>
      </c>
      <c r="H14" s="53">
        <f t="shared" ref="H14:M14" si="6">H4*H15</f>
        <v>0.609429816</v>
      </c>
      <c r="I14" s="53">
        <f t="shared" si="6"/>
        <v>0.76155819456</v>
      </c>
      <c r="J14" s="53">
        <f t="shared" si="6"/>
        <v>1.159360457604</v>
      </c>
      <c r="K14" s="53">
        <f t="shared" si="6"/>
        <v>1.42720121263188</v>
      </c>
      <c r="L14" s="53">
        <f t="shared" si="6"/>
        <v>1.79129489848026</v>
      </c>
      <c r="M14" s="53">
        <f t="shared" si="6"/>
        <v>2.17122764166935</v>
      </c>
      <c r="O14" s="33"/>
      <c r="P14" s="33"/>
      <c r="Q14" s="53">
        <v>0.08</v>
      </c>
      <c r="R14" s="33"/>
      <c r="S14" s="33"/>
      <c r="T14" s="33"/>
      <c r="U14" s="53">
        <v>0.12</v>
      </c>
      <c r="V14" s="53">
        <v>0.12</v>
      </c>
      <c r="W14" s="53">
        <v>0.12</v>
      </c>
      <c r="X14" s="53">
        <v>0.1</v>
      </c>
      <c r="Y14" s="53">
        <v>0.12</v>
      </c>
    </row>
    <row r="15" customHeight="1" spans="1:25">
      <c r="A15" s="52" t="s">
        <v>129</v>
      </c>
      <c r="F15" s="73">
        <f>F14/F4</f>
        <v>0.0204899777282851</v>
      </c>
      <c r="G15" s="53">
        <v>0.022</v>
      </c>
      <c r="H15" s="53">
        <v>0.024</v>
      </c>
      <c r="I15" s="53">
        <v>0.024</v>
      </c>
      <c r="J15" s="53">
        <v>0.03</v>
      </c>
      <c r="K15" s="53">
        <v>0.03</v>
      </c>
      <c r="L15" s="53">
        <v>0.03</v>
      </c>
      <c r="M15" s="53">
        <v>0.03</v>
      </c>
      <c r="O15" s="33"/>
      <c r="P15" s="33"/>
      <c r="Q15" s="53"/>
      <c r="R15" s="33"/>
      <c r="S15" s="33"/>
      <c r="T15" s="33"/>
      <c r="U15" s="53"/>
      <c r="V15" s="53"/>
      <c r="W15" s="53"/>
      <c r="X15" s="53"/>
      <c r="Y15" s="53"/>
    </row>
    <row r="16" customHeight="1" spans="1:25">
      <c r="A16" s="52" t="s">
        <v>133</v>
      </c>
      <c r="B16" s="53">
        <v>0.01</v>
      </c>
      <c r="C16" s="53">
        <v>0.01</v>
      </c>
      <c r="D16" s="53">
        <v>0.05</v>
      </c>
      <c r="E16" s="53">
        <v>0.04</v>
      </c>
      <c r="F16" s="53">
        <v>0.06</v>
      </c>
      <c r="G16" s="53">
        <f>BS!G50</f>
        <v>0.115211152</v>
      </c>
      <c r="H16" s="53">
        <f>BS!H50</f>
        <v>0.24855500726</v>
      </c>
      <c r="I16" s="53">
        <f>BS!I50</f>
        <v>0.3894424228016</v>
      </c>
      <c r="J16" s="53">
        <f>BS!J50</f>
        <v>0.425410348802152</v>
      </c>
      <c r="K16" s="53">
        <f>BS!K50</f>
        <v>0.342660272325615</v>
      </c>
      <c r="L16" s="53">
        <f>BS!L50</f>
        <v>0.218359376192908</v>
      </c>
      <c r="M16" s="53">
        <f>BS!M50</f>
        <v>0.129132395661124</v>
      </c>
      <c r="O16" s="53">
        <v>0.01</v>
      </c>
      <c r="P16" s="53">
        <v>0.01</v>
      </c>
      <c r="Q16" s="53">
        <v>0.01</v>
      </c>
      <c r="R16" s="53">
        <v>0.02</v>
      </c>
      <c r="S16" s="53">
        <v>0</v>
      </c>
      <c r="T16" s="53">
        <v>0.01</v>
      </c>
      <c r="U16" s="53">
        <v>0.02</v>
      </c>
      <c r="V16" s="53">
        <v>0.04</v>
      </c>
      <c r="W16" s="53">
        <v>0.02</v>
      </c>
      <c r="X16" s="53">
        <v>0.02</v>
      </c>
      <c r="Y16" s="53">
        <v>0.05</v>
      </c>
    </row>
    <row r="17" customHeight="1" spans="1:25">
      <c r="A17" s="52" t="s">
        <v>129</v>
      </c>
      <c r="B17" s="75">
        <f t="shared" ref="B17:M17" si="7">B16/B4</f>
        <v>0.00231481481481481</v>
      </c>
      <c r="C17" s="75">
        <f t="shared" si="7"/>
        <v>0.00130039011703511</v>
      </c>
      <c r="D17" s="75">
        <f t="shared" si="7"/>
        <v>0.00426985482493595</v>
      </c>
      <c r="E17" s="75">
        <f t="shared" si="7"/>
        <v>0.00243013365735115</v>
      </c>
      <c r="F17" s="75">
        <f t="shared" si="7"/>
        <v>0.00267260579064588</v>
      </c>
      <c r="G17" s="75">
        <f t="shared" si="7"/>
        <v>0.00502298280492484</v>
      </c>
      <c r="H17" s="75">
        <f t="shared" si="7"/>
        <v>0.00978836285594534</v>
      </c>
      <c r="I17" s="75">
        <f t="shared" si="7"/>
        <v>0.0122730189419582</v>
      </c>
      <c r="J17" s="75">
        <f t="shared" si="7"/>
        <v>0.0110080608497204</v>
      </c>
      <c r="K17" s="75">
        <f t="shared" si="7"/>
        <v>0.00720277426811572</v>
      </c>
      <c r="L17" s="75">
        <f t="shared" si="7"/>
        <v>0.00365700884390669</v>
      </c>
      <c r="M17" s="75">
        <f t="shared" si="7"/>
        <v>0.00178423109373055</v>
      </c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</row>
    <row r="18" customHeight="1" spans="1:25">
      <c r="A18" s="52" t="s">
        <v>134</v>
      </c>
      <c r="F18" s="53">
        <v>0.03</v>
      </c>
      <c r="G18" s="53"/>
      <c r="H18" s="53"/>
      <c r="I18" s="53"/>
      <c r="J18" s="53"/>
      <c r="K18" s="53"/>
      <c r="L18" s="53"/>
      <c r="M18" s="53"/>
      <c r="O18" s="33"/>
      <c r="P18" s="33"/>
      <c r="Q18" s="53">
        <v>0.01</v>
      </c>
      <c r="R18" s="33"/>
      <c r="S18" s="33"/>
      <c r="T18" s="33"/>
      <c r="U18" s="53">
        <v>0.01</v>
      </c>
      <c r="V18" s="53">
        <v>0</v>
      </c>
      <c r="W18" s="53">
        <v>0.01</v>
      </c>
      <c r="X18" s="53">
        <v>0.01</v>
      </c>
      <c r="Y18" s="53">
        <v>0.02</v>
      </c>
    </row>
    <row r="19" customHeight="1" spans="1:25">
      <c r="A19" s="52" t="s">
        <v>135</v>
      </c>
      <c r="F19" s="53">
        <v>0.03</v>
      </c>
      <c r="G19" s="53"/>
      <c r="H19" s="53"/>
      <c r="I19" s="53"/>
      <c r="J19" s="53"/>
      <c r="K19" s="53"/>
      <c r="L19" s="53"/>
      <c r="M19" s="53"/>
      <c r="O19" s="33"/>
      <c r="P19" s="33"/>
      <c r="Q19" s="53">
        <v>0</v>
      </c>
      <c r="R19" s="33"/>
      <c r="S19" s="33"/>
      <c r="T19" s="33"/>
      <c r="U19" s="53">
        <v>-0.01</v>
      </c>
      <c r="V19" s="53">
        <v>0.06</v>
      </c>
      <c r="W19" s="53">
        <v>0</v>
      </c>
      <c r="X19" s="53">
        <v>0</v>
      </c>
      <c r="Y19" s="53">
        <v>0</v>
      </c>
    </row>
    <row r="20" customHeight="1" spans="1:25">
      <c r="A20" s="52" t="s">
        <v>136</v>
      </c>
      <c r="F20" s="53">
        <v>0.09</v>
      </c>
      <c r="G20" s="53">
        <v>0.02</v>
      </c>
      <c r="H20" s="53">
        <f t="shared" ref="H20:M20" si="8">G20</f>
        <v>0.02</v>
      </c>
      <c r="I20" s="53">
        <f t="shared" si="8"/>
        <v>0.02</v>
      </c>
      <c r="J20" s="53">
        <f t="shared" si="8"/>
        <v>0.02</v>
      </c>
      <c r="K20" s="53">
        <f t="shared" si="8"/>
        <v>0.02</v>
      </c>
      <c r="L20" s="53">
        <f t="shared" si="8"/>
        <v>0.02</v>
      </c>
      <c r="M20" s="53">
        <f t="shared" si="8"/>
        <v>0.02</v>
      </c>
      <c r="O20" s="33"/>
      <c r="P20" s="33"/>
      <c r="Q20" s="33"/>
      <c r="R20" s="33"/>
      <c r="S20" s="33"/>
      <c r="T20" s="33"/>
      <c r="U20" s="33"/>
      <c r="V20" s="53">
        <v>0.09</v>
      </c>
      <c r="W20" s="53">
        <v>0.02</v>
      </c>
      <c r="X20" s="53">
        <v>0.01</v>
      </c>
      <c r="Y20" s="53">
        <v>0.02</v>
      </c>
    </row>
    <row r="21" customHeight="1" spans="1:25">
      <c r="A21" s="52" t="s">
        <v>137</v>
      </c>
      <c r="E21" s="53">
        <v>0.01</v>
      </c>
      <c r="F21" s="53">
        <v>0.2</v>
      </c>
      <c r="G21" s="53">
        <v>0.05</v>
      </c>
      <c r="H21" s="53">
        <v>0.03</v>
      </c>
      <c r="I21" s="53">
        <v>0.03</v>
      </c>
      <c r="J21" s="53">
        <v>0.03</v>
      </c>
      <c r="K21" s="53">
        <v>0.05</v>
      </c>
      <c r="L21" s="53">
        <v>0.06</v>
      </c>
      <c r="M21" s="53">
        <v>0.06</v>
      </c>
      <c r="O21" s="33"/>
      <c r="P21" s="33"/>
      <c r="Q21" s="53">
        <v>0.01</v>
      </c>
      <c r="R21" s="53">
        <v>0</v>
      </c>
      <c r="S21" s="53">
        <v>0.01</v>
      </c>
      <c r="T21" s="53">
        <v>0.05</v>
      </c>
      <c r="U21" s="53">
        <v>0.09</v>
      </c>
      <c r="V21" s="53">
        <v>0.06</v>
      </c>
      <c r="W21" s="53">
        <v>0.05</v>
      </c>
      <c r="X21" s="53">
        <v>0.03</v>
      </c>
      <c r="Y21" s="53">
        <v>0.05</v>
      </c>
    </row>
    <row r="22" customHeight="1" spans="1:25">
      <c r="A22" s="52" t="s">
        <v>138</v>
      </c>
      <c r="B22" s="53">
        <v>0.02</v>
      </c>
      <c r="C22" s="53">
        <v>0</v>
      </c>
      <c r="D22" s="53">
        <v>0.07</v>
      </c>
      <c r="E22" s="53">
        <v>0.1</v>
      </c>
      <c r="F22" s="53">
        <v>0.12</v>
      </c>
      <c r="G22" s="53">
        <v>-0.12</v>
      </c>
      <c r="H22" s="53">
        <v>0</v>
      </c>
      <c r="I22" s="53">
        <v>0</v>
      </c>
      <c r="J22" s="53">
        <v>0</v>
      </c>
      <c r="K22" s="53">
        <v>0</v>
      </c>
      <c r="L22" s="53">
        <v>0</v>
      </c>
      <c r="M22" s="53">
        <v>0</v>
      </c>
      <c r="O22" s="33"/>
      <c r="P22" s="53">
        <v>0.06</v>
      </c>
      <c r="Q22" s="53">
        <v>0</v>
      </c>
      <c r="R22" s="53">
        <v>0.03</v>
      </c>
      <c r="S22" s="53">
        <v>-0.01</v>
      </c>
      <c r="T22" s="53">
        <v>0.05</v>
      </c>
      <c r="U22" s="53">
        <v>0.01</v>
      </c>
      <c r="V22" s="53">
        <v>0.07</v>
      </c>
      <c r="W22" s="53">
        <v>0</v>
      </c>
      <c r="X22" s="53">
        <v>-0.04</v>
      </c>
      <c r="Y22" s="53">
        <v>-0.06</v>
      </c>
    </row>
    <row r="23" customHeight="1" spans="1:25">
      <c r="A23" s="52" t="s">
        <v>139</v>
      </c>
      <c r="G23" s="33" t="s">
        <v>140</v>
      </c>
      <c r="H23" s="33" t="s">
        <v>103</v>
      </c>
      <c r="I23" s="33" t="s">
        <v>103</v>
      </c>
      <c r="J23" s="33" t="s">
        <v>103</v>
      </c>
      <c r="K23" s="33" t="s">
        <v>103</v>
      </c>
      <c r="L23" s="33" t="s">
        <v>103</v>
      </c>
      <c r="M23" s="33" t="s">
        <v>103</v>
      </c>
      <c r="O23" s="33"/>
      <c r="P23" s="33"/>
      <c r="Q23" s="33"/>
      <c r="R23" s="33"/>
      <c r="S23" s="33"/>
      <c r="T23" s="33"/>
      <c r="U23" s="33"/>
      <c r="V23" s="33"/>
      <c r="W23" s="33"/>
      <c r="X23" s="53">
        <v>-0.03</v>
      </c>
      <c r="Y23" s="53">
        <v>0</v>
      </c>
    </row>
    <row r="24" customHeight="1" spans="1:25">
      <c r="A24" s="52" t="s">
        <v>141</v>
      </c>
      <c r="B24" s="53">
        <v>0.53</v>
      </c>
      <c r="C24" s="53">
        <v>0.8</v>
      </c>
      <c r="D24" s="53">
        <v>0.75</v>
      </c>
      <c r="E24" s="53">
        <v>1.62</v>
      </c>
      <c r="F24" s="53">
        <v>1.58</v>
      </c>
      <c r="G24" s="53">
        <f>G4-G6+G20+G21-G22-G23</f>
        <v>0.424624247999998</v>
      </c>
      <c r="H24" s="53">
        <f t="shared" ref="H24:M24" si="9">H4-H6+H20+H21-H22-H23</f>
        <v>0.902942901740001</v>
      </c>
      <c r="I24" s="53">
        <f t="shared" si="9"/>
        <v>1.7451153753184</v>
      </c>
      <c r="J24" s="53">
        <f t="shared" si="9"/>
        <v>3.60824392633984</v>
      </c>
      <c r="K24" s="53">
        <f t="shared" si="9"/>
        <v>5.93223618084123</v>
      </c>
      <c r="L24" s="53">
        <f t="shared" si="9"/>
        <v>8.59490176063353</v>
      </c>
      <c r="M24" s="53">
        <f t="shared" si="9"/>
        <v>11.030019003114</v>
      </c>
      <c r="O24" s="53">
        <v>0.29</v>
      </c>
      <c r="P24" s="53">
        <v>0.44</v>
      </c>
      <c r="Q24" s="53">
        <v>0.55</v>
      </c>
      <c r="R24" s="53">
        <v>0.35</v>
      </c>
      <c r="S24" s="53">
        <v>0.36</v>
      </c>
      <c r="T24" s="53">
        <v>0.47</v>
      </c>
      <c r="U24" s="53">
        <v>0.53</v>
      </c>
      <c r="V24" s="53">
        <v>0.22</v>
      </c>
      <c r="W24" s="53">
        <v>-0.01</v>
      </c>
      <c r="X24" s="53">
        <v>0</v>
      </c>
      <c r="Y24" s="53">
        <v>0.02</v>
      </c>
    </row>
    <row r="25" customHeight="1" spans="1:25">
      <c r="A25" s="52" t="s">
        <v>142</v>
      </c>
      <c r="B25" s="53">
        <v>0</v>
      </c>
      <c r="C25" s="53">
        <v>0.04</v>
      </c>
      <c r="D25" s="53">
        <v>0.21</v>
      </c>
      <c r="E25" s="53">
        <v>0.33</v>
      </c>
      <c r="F25" s="53">
        <v>0.04</v>
      </c>
      <c r="G25" s="53">
        <v>0</v>
      </c>
      <c r="H25" s="53">
        <f t="shared" ref="H25:M25" si="10">G25</f>
        <v>0</v>
      </c>
      <c r="I25" s="53">
        <f t="shared" si="10"/>
        <v>0</v>
      </c>
      <c r="J25" s="53">
        <f t="shared" si="10"/>
        <v>0</v>
      </c>
      <c r="K25" s="53">
        <f t="shared" si="10"/>
        <v>0</v>
      </c>
      <c r="L25" s="53">
        <f t="shared" si="10"/>
        <v>0</v>
      </c>
      <c r="M25" s="53">
        <f t="shared" si="10"/>
        <v>0</v>
      </c>
      <c r="O25" s="53">
        <v>0.01</v>
      </c>
      <c r="P25" s="53">
        <v>0.02</v>
      </c>
      <c r="Q25" s="53">
        <v>0</v>
      </c>
      <c r="R25" s="53">
        <v>0.29</v>
      </c>
      <c r="S25" s="53">
        <v>0</v>
      </c>
      <c r="T25" s="53">
        <v>0</v>
      </c>
      <c r="U25" s="53">
        <v>0.01</v>
      </c>
      <c r="V25" s="53">
        <v>0.03</v>
      </c>
      <c r="W25" s="53">
        <v>0.01</v>
      </c>
      <c r="X25" s="53">
        <v>0.01</v>
      </c>
      <c r="Y25" s="53">
        <v>0</v>
      </c>
    </row>
    <row r="26" customHeight="1" spans="1:25">
      <c r="A26" s="52" t="s">
        <v>143</v>
      </c>
      <c r="B26" s="53">
        <v>0</v>
      </c>
      <c r="C26" s="53">
        <v>0.01</v>
      </c>
      <c r="D26" s="53">
        <v>0</v>
      </c>
      <c r="E26" s="53">
        <v>0.05</v>
      </c>
      <c r="F26" s="53">
        <v>0</v>
      </c>
      <c r="G26" s="53">
        <v>0</v>
      </c>
      <c r="H26" s="53">
        <f t="shared" ref="H26:M26" si="11">G26</f>
        <v>0</v>
      </c>
      <c r="I26" s="53">
        <f t="shared" si="11"/>
        <v>0</v>
      </c>
      <c r="J26" s="53">
        <f t="shared" si="11"/>
        <v>0</v>
      </c>
      <c r="K26" s="53">
        <f t="shared" si="11"/>
        <v>0</v>
      </c>
      <c r="L26" s="53">
        <f t="shared" si="11"/>
        <v>0</v>
      </c>
      <c r="M26" s="53">
        <f t="shared" si="11"/>
        <v>0</v>
      </c>
      <c r="O26" s="53">
        <v>0</v>
      </c>
      <c r="P26" s="53">
        <v>0.03</v>
      </c>
      <c r="Q26" s="53">
        <v>0.02</v>
      </c>
      <c r="R26" s="53">
        <v>0</v>
      </c>
      <c r="S26" s="53">
        <v>0</v>
      </c>
      <c r="T26" s="53">
        <v>0</v>
      </c>
      <c r="U26" s="33"/>
      <c r="V26" s="53">
        <v>0</v>
      </c>
      <c r="W26" s="53">
        <v>0</v>
      </c>
      <c r="X26" s="53">
        <v>0</v>
      </c>
      <c r="Y26" s="53">
        <v>0</v>
      </c>
    </row>
    <row r="27" customHeight="1" spans="1:25">
      <c r="A27" s="52" t="s">
        <v>144</v>
      </c>
      <c r="B27" s="54">
        <v>0.53</v>
      </c>
      <c r="C27" s="54">
        <v>0.82</v>
      </c>
      <c r="D27" s="54">
        <v>0.95</v>
      </c>
      <c r="E27" s="54">
        <v>1.9</v>
      </c>
      <c r="F27" s="54">
        <v>1.62</v>
      </c>
      <c r="G27" s="72">
        <f>G24</f>
        <v>0.424624247999998</v>
      </c>
      <c r="H27" s="72">
        <f t="shared" ref="H27:M27" si="12">H24</f>
        <v>0.902942901740001</v>
      </c>
      <c r="I27" s="72">
        <f t="shared" si="12"/>
        <v>1.7451153753184</v>
      </c>
      <c r="J27" s="72">
        <f t="shared" si="12"/>
        <v>3.60824392633984</v>
      </c>
      <c r="K27" s="72">
        <f t="shared" si="12"/>
        <v>5.93223618084123</v>
      </c>
      <c r="L27" s="72">
        <f t="shared" si="12"/>
        <v>8.59490176063353</v>
      </c>
      <c r="M27" s="72">
        <f t="shared" si="12"/>
        <v>11.030019003114</v>
      </c>
      <c r="O27" s="53">
        <v>0.3</v>
      </c>
      <c r="P27" s="53">
        <v>0.43</v>
      </c>
      <c r="Q27" s="53">
        <v>0.53</v>
      </c>
      <c r="R27" s="53">
        <v>0.64</v>
      </c>
      <c r="S27" s="53">
        <v>0.36</v>
      </c>
      <c r="T27" s="53">
        <v>0.46</v>
      </c>
      <c r="U27" s="53">
        <v>0.54</v>
      </c>
      <c r="V27" s="53">
        <v>0.25</v>
      </c>
      <c r="W27" s="53">
        <v>0</v>
      </c>
      <c r="X27" s="53">
        <v>0.01</v>
      </c>
      <c r="Y27" s="53">
        <v>0.02</v>
      </c>
    </row>
    <row r="28" customHeight="1" spans="1:25">
      <c r="A28" s="52" t="s">
        <v>145</v>
      </c>
      <c r="B28" s="53">
        <v>0.16</v>
      </c>
      <c r="C28" s="53">
        <v>0.29</v>
      </c>
      <c r="D28" s="53">
        <v>0.23</v>
      </c>
      <c r="E28" s="53">
        <v>0.32</v>
      </c>
      <c r="F28" s="53">
        <v>0.34</v>
      </c>
      <c r="G28" s="53">
        <v>0.25</v>
      </c>
      <c r="H28" s="53">
        <f t="shared" ref="H28:M28" si="13">H27*H29</f>
        <v>0.225735725435</v>
      </c>
      <c r="I28" s="53">
        <f t="shared" si="13"/>
        <v>0.4362788438296</v>
      </c>
      <c r="J28" s="53">
        <f t="shared" si="13"/>
        <v>0.90206098158496</v>
      </c>
      <c r="K28" s="53">
        <f t="shared" si="13"/>
        <v>1.48305904521031</v>
      </c>
      <c r="L28" s="53">
        <f t="shared" si="13"/>
        <v>2.14872544015838</v>
      </c>
      <c r="M28" s="53">
        <f t="shared" si="13"/>
        <v>2.75750475077851</v>
      </c>
      <c r="O28" s="53">
        <v>0.06</v>
      </c>
      <c r="P28" s="53">
        <v>0.12</v>
      </c>
      <c r="Q28" s="53">
        <v>0.1</v>
      </c>
      <c r="R28" s="53">
        <v>0.04</v>
      </c>
      <c r="S28" s="53">
        <v>0.07</v>
      </c>
      <c r="T28" s="53">
        <v>0.12</v>
      </c>
      <c r="U28" s="53">
        <v>0.09</v>
      </c>
      <c r="V28" s="53">
        <v>0.06</v>
      </c>
      <c r="W28" s="53">
        <v>0</v>
      </c>
      <c r="X28" s="53">
        <v>-0.03</v>
      </c>
      <c r="Y28" s="53">
        <v>0</v>
      </c>
    </row>
    <row r="29" customHeight="1" spans="1:25">
      <c r="A29" s="52" t="s">
        <v>146</v>
      </c>
      <c r="E29" s="76">
        <f>E28/E27</f>
        <v>0.168421052631579</v>
      </c>
      <c r="F29" s="76">
        <f>F28/F27</f>
        <v>0.209876543209877</v>
      </c>
      <c r="G29" s="76">
        <v>0.25</v>
      </c>
      <c r="H29" s="77">
        <v>0.25</v>
      </c>
      <c r="I29" s="77">
        <v>0.25</v>
      </c>
      <c r="J29" s="77">
        <v>0.25</v>
      </c>
      <c r="K29" s="77">
        <f>J29</f>
        <v>0.25</v>
      </c>
      <c r="L29" s="77">
        <f>K29</f>
        <v>0.25</v>
      </c>
      <c r="M29" s="77">
        <f>L29</f>
        <v>0.25</v>
      </c>
      <c r="O29"/>
      <c r="P29"/>
      <c r="Q29"/>
      <c r="R29"/>
      <c r="S29"/>
      <c r="T29"/>
      <c r="U29"/>
      <c r="V29"/>
      <c r="W29"/>
      <c r="X29"/>
      <c r="Y29"/>
    </row>
    <row r="30" customHeight="1" spans="1:25">
      <c r="A30" s="52" t="s">
        <v>147</v>
      </c>
      <c r="B30" s="53">
        <v>0.37</v>
      </c>
      <c r="C30" s="53">
        <v>0.53</v>
      </c>
      <c r="D30" s="53">
        <v>0.73</v>
      </c>
      <c r="E30" s="53">
        <v>1.58</v>
      </c>
      <c r="F30" s="53">
        <v>1.28</v>
      </c>
      <c r="G30" s="53">
        <f t="shared" ref="G30:M30" si="14">G27-G28</f>
        <v>0.174624247999998</v>
      </c>
      <c r="H30" s="53">
        <f t="shared" si="14"/>
        <v>0.677207176305</v>
      </c>
      <c r="I30" s="53">
        <f t="shared" si="14"/>
        <v>1.3088365314888</v>
      </c>
      <c r="J30" s="53">
        <f t="shared" si="14"/>
        <v>2.70618294475488</v>
      </c>
      <c r="K30" s="53">
        <f t="shared" si="14"/>
        <v>4.44917713563092</v>
      </c>
      <c r="L30" s="53">
        <f t="shared" si="14"/>
        <v>6.44617632047515</v>
      </c>
      <c r="M30" s="53">
        <f t="shared" si="14"/>
        <v>8.27251425233552</v>
      </c>
      <c r="O30" s="53">
        <v>0.24</v>
      </c>
      <c r="P30" s="53">
        <v>0.3</v>
      </c>
      <c r="Q30" s="53">
        <v>0.43</v>
      </c>
      <c r="R30" s="53">
        <v>0.6</v>
      </c>
      <c r="S30" s="53">
        <v>0.29</v>
      </c>
      <c r="T30" s="53">
        <v>0.35</v>
      </c>
      <c r="U30" s="53">
        <v>0.45</v>
      </c>
      <c r="V30" s="53">
        <v>0.19</v>
      </c>
      <c r="W30" s="53">
        <v>0</v>
      </c>
      <c r="X30" s="53">
        <v>0.05</v>
      </c>
      <c r="Y30" s="53">
        <v>0.01</v>
      </c>
    </row>
    <row r="31" customHeight="1" spans="1:25">
      <c r="A31" s="52" t="s">
        <v>148</v>
      </c>
      <c r="B31" s="53">
        <v>0.01</v>
      </c>
      <c r="C31" s="53">
        <v>0</v>
      </c>
      <c r="D31" s="53">
        <v>-0.01</v>
      </c>
      <c r="E31" s="53">
        <v>0</v>
      </c>
      <c r="F31" s="53">
        <v>-0.03</v>
      </c>
      <c r="G31" s="53">
        <v>-0.01</v>
      </c>
      <c r="H31" s="53">
        <v>0</v>
      </c>
      <c r="I31" s="53">
        <v>0</v>
      </c>
      <c r="J31" s="53">
        <v>0</v>
      </c>
      <c r="K31" s="53">
        <v>0</v>
      </c>
      <c r="L31" s="53">
        <v>0</v>
      </c>
      <c r="M31" s="53">
        <v>0</v>
      </c>
      <c r="O31" s="53">
        <v>0</v>
      </c>
      <c r="P31" s="53">
        <v>0</v>
      </c>
      <c r="Q31" s="53">
        <v>0</v>
      </c>
      <c r="R31" s="53">
        <v>0</v>
      </c>
      <c r="S31" s="53">
        <v>0</v>
      </c>
      <c r="T31" s="53">
        <v>-0.01</v>
      </c>
      <c r="U31" s="53">
        <v>0</v>
      </c>
      <c r="V31" s="53">
        <v>-0.02</v>
      </c>
      <c r="W31" s="53">
        <v>0</v>
      </c>
      <c r="X31" s="53">
        <v>-0.01</v>
      </c>
      <c r="Y31" s="53">
        <v>0</v>
      </c>
    </row>
    <row r="32" customHeight="1" spans="1:25">
      <c r="A32" s="52" t="s">
        <v>149</v>
      </c>
      <c r="B32" s="53">
        <v>0.37</v>
      </c>
      <c r="C32" s="53">
        <v>0.53</v>
      </c>
      <c r="D32" s="53">
        <v>0.74</v>
      </c>
      <c r="E32" s="53">
        <v>1.58</v>
      </c>
      <c r="F32" s="53">
        <v>1.31</v>
      </c>
      <c r="G32" s="53">
        <f>G30-G31</f>
        <v>0.184624247999998</v>
      </c>
      <c r="H32" s="53">
        <f t="shared" ref="H32:M32" si="15">H30-H31</f>
        <v>0.677207176305</v>
      </c>
      <c r="I32" s="53">
        <f t="shared" si="15"/>
        <v>1.3088365314888</v>
      </c>
      <c r="J32" s="53">
        <f t="shared" si="15"/>
        <v>2.70618294475488</v>
      </c>
      <c r="K32" s="53">
        <f t="shared" si="15"/>
        <v>4.44917713563092</v>
      </c>
      <c r="L32" s="53">
        <f t="shared" si="15"/>
        <v>6.44617632047515</v>
      </c>
      <c r="M32" s="53">
        <f t="shared" si="15"/>
        <v>8.27251425233552</v>
      </c>
      <c r="O32" s="53">
        <v>0.24</v>
      </c>
      <c r="P32" s="53">
        <v>0.3</v>
      </c>
      <c r="Q32" s="53">
        <v>0.44</v>
      </c>
      <c r="R32" s="53">
        <v>0.6</v>
      </c>
      <c r="S32" s="53">
        <v>0.29</v>
      </c>
      <c r="T32" s="53">
        <v>0.36</v>
      </c>
      <c r="U32" s="53">
        <v>0.45</v>
      </c>
      <c r="V32" s="53">
        <v>0.21</v>
      </c>
      <c r="W32" s="53">
        <v>0</v>
      </c>
      <c r="X32" s="53">
        <v>0.06</v>
      </c>
      <c r="Y32" s="53">
        <v>0.02</v>
      </c>
    </row>
    <row r="33" customHeight="1" spans="1:25">
      <c r="A33" s="52" t="s">
        <v>150</v>
      </c>
      <c r="C33" s="53">
        <v>0.01</v>
      </c>
      <c r="D33" s="53">
        <v>0.02</v>
      </c>
      <c r="E33" s="53">
        <v>-0.03</v>
      </c>
      <c r="F33" s="53">
        <v>0.07</v>
      </c>
      <c r="G33" s="53">
        <v>0.06</v>
      </c>
      <c r="H33" s="53">
        <v>0.06</v>
      </c>
      <c r="I33" s="53">
        <v>0.06</v>
      </c>
      <c r="J33" s="53">
        <v>0.08</v>
      </c>
      <c r="K33" s="53">
        <v>0.08</v>
      </c>
      <c r="L33" s="53">
        <v>0.08</v>
      </c>
      <c r="M33" s="53">
        <v>0.08</v>
      </c>
      <c r="O33" s="53">
        <v>-0.03</v>
      </c>
      <c r="P33" s="53">
        <v>0.02</v>
      </c>
      <c r="Q33" s="53">
        <v>-0.02</v>
      </c>
      <c r="R33" s="53">
        <v>-0.01</v>
      </c>
      <c r="S33" s="53">
        <v>0</v>
      </c>
      <c r="T33" s="53">
        <v>0.01</v>
      </c>
      <c r="U33" s="53">
        <v>0.04</v>
      </c>
      <c r="V33" s="53">
        <v>0.02</v>
      </c>
      <c r="W33" s="53">
        <v>-0.02</v>
      </c>
      <c r="X33" s="53">
        <v>0.02</v>
      </c>
      <c r="Y33" s="53">
        <v>0.06</v>
      </c>
    </row>
    <row r="34" customHeight="1" spans="1:25">
      <c r="A34" s="52" t="s">
        <v>151</v>
      </c>
      <c r="B34" s="53">
        <v>0.37</v>
      </c>
      <c r="C34" s="53">
        <v>0.54</v>
      </c>
      <c r="D34" s="53">
        <v>0.75</v>
      </c>
      <c r="E34" s="53">
        <v>1.55</v>
      </c>
      <c r="F34" s="53">
        <v>1.34</v>
      </c>
      <c r="G34" s="53">
        <f>G30+G33</f>
        <v>0.234624247999998</v>
      </c>
      <c r="H34" s="53">
        <f t="shared" ref="H34:M34" si="16">H30+H33</f>
        <v>0.737207176305001</v>
      </c>
      <c r="I34" s="53">
        <f t="shared" si="16"/>
        <v>1.3688365314888</v>
      </c>
      <c r="J34" s="53">
        <f t="shared" si="16"/>
        <v>2.78618294475488</v>
      </c>
      <c r="K34" s="53">
        <f t="shared" si="16"/>
        <v>4.52917713563092</v>
      </c>
      <c r="L34" s="53">
        <f t="shared" si="16"/>
        <v>6.52617632047515</v>
      </c>
      <c r="M34" s="53">
        <f t="shared" si="16"/>
        <v>8.35251425233552</v>
      </c>
      <c r="O34" s="53">
        <v>0.22</v>
      </c>
      <c r="P34" s="53">
        <v>0.32</v>
      </c>
      <c r="Q34" s="53">
        <v>0.42</v>
      </c>
      <c r="R34" s="53">
        <v>0.59</v>
      </c>
      <c r="S34" s="53">
        <v>0.29</v>
      </c>
      <c r="T34" s="53">
        <v>0.36</v>
      </c>
      <c r="U34" s="53">
        <v>0.49</v>
      </c>
      <c r="V34" s="53">
        <v>0.21</v>
      </c>
      <c r="W34" s="53">
        <v>-0.02</v>
      </c>
      <c r="X34" s="53">
        <v>0.07</v>
      </c>
      <c r="Y34" s="53">
        <v>0.07</v>
      </c>
    </row>
    <row r="35" customHeight="1" spans="1:25">
      <c r="A35" s="52" t="s">
        <v>152</v>
      </c>
      <c r="B35" s="53">
        <v>0.01</v>
      </c>
      <c r="C35" s="53">
        <v>0</v>
      </c>
      <c r="D35" s="53">
        <v>-0.01</v>
      </c>
      <c r="E35" s="53">
        <v>0</v>
      </c>
      <c r="F35" s="53">
        <v>-0.03</v>
      </c>
      <c r="G35" s="53">
        <f>G31</f>
        <v>-0.01</v>
      </c>
      <c r="H35" s="53">
        <f t="shared" ref="H35:M35" si="17">H31</f>
        <v>0</v>
      </c>
      <c r="I35" s="53">
        <f t="shared" si="17"/>
        <v>0</v>
      </c>
      <c r="J35" s="53">
        <f t="shared" si="17"/>
        <v>0</v>
      </c>
      <c r="K35" s="53">
        <f t="shared" si="17"/>
        <v>0</v>
      </c>
      <c r="L35" s="53">
        <f t="shared" si="17"/>
        <v>0</v>
      </c>
      <c r="M35" s="53">
        <f t="shared" si="17"/>
        <v>0</v>
      </c>
      <c r="O35" s="53">
        <v>0</v>
      </c>
      <c r="P35" s="53">
        <v>0</v>
      </c>
      <c r="Q35" s="53">
        <v>0</v>
      </c>
      <c r="R35" s="53">
        <v>0</v>
      </c>
      <c r="S35" s="53">
        <v>0</v>
      </c>
      <c r="T35" s="53">
        <v>-0.01</v>
      </c>
      <c r="U35" s="53">
        <v>0</v>
      </c>
      <c r="V35" s="53">
        <v>-0.02</v>
      </c>
      <c r="W35" s="53">
        <v>0</v>
      </c>
      <c r="X35" s="53">
        <v>-0.01</v>
      </c>
      <c r="Y35" s="53">
        <v>0</v>
      </c>
    </row>
    <row r="36" customHeight="1" spans="1:25">
      <c r="A36" s="52" t="s">
        <v>153</v>
      </c>
      <c r="B36" s="53">
        <v>0.37</v>
      </c>
      <c r="C36" s="53">
        <v>0.54</v>
      </c>
      <c r="D36" s="53">
        <v>0.76</v>
      </c>
      <c r="E36" s="53">
        <v>1.56</v>
      </c>
      <c r="F36" s="53">
        <v>1.37</v>
      </c>
      <c r="G36" s="53">
        <f>G34-G35</f>
        <v>0.244624247999998</v>
      </c>
      <c r="H36" s="53">
        <f t="shared" ref="H36:M36" si="18">H34-H35</f>
        <v>0.737207176305001</v>
      </c>
      <c r="I36" s="53">
        <f t="shared" si="18"/>
        <v>1.3688365314888</v>
      </c>
      <c r="J36" s="53">
        <f t="shared" si="18"/>
        <v>2.78618294475488</v>
      </c>
      <c r="K36" s="53">
        <f t="shared" si="18"/>
        <v>4.52917713563092</v>
      </c>
      <c r="L36" s="53">
        <f t="shared" si="18"/>
        <v>6.52617632047515</v>
      </c>
      <c r="M36" s="53">
        <f t="shared" si="18"/>
        <v>8.35251425233552</v>
      </c>
      <c r="O36" s="53">
        <v>0.22</v>
      </c>
      <c r="P36" s="53">
        <v>0.32</v>
      </c>
      <c r="Q36" s="53">
        <v>0.42</v>
      </c>
      <c r="R36" s="53">
        <v>0.59</v>
      </c>
      <c r="S36" s="53">
        <v>0.29</v>
      </c>
      <c r="T36" s="53">
        <v>0.37</v>
      </c>
      <c r="U36" s="53">
        <v>0.49</v>
      </c>
      <c r="V36" s="53">
        <v>0.22</v>
      </c>
      <c r="W36" s="53">
        <v>-0.02</v>
      </c>
      <c r="X36" s="53">
        <v>0.08</v>
      </c>
      <c r="Y36" s="53">
        <v>0.08</v>
      </c>
    </row>
    <row r="37" customHeight="1" spans="1:25">
      <c r="A37" s="52" t="s">
        <v>154</v>
      </c>
      <c r="O37" s="34" t="s">
        <v>155</v>
      </c>
      <c r="P37" s="34" t="s">
        <v>155</v>
      </c>
      <c r="Q37" s="34" t="s">
        <v>155</v>
      </c>
      <c r="R37" s="34" t="s">
        <v>155</v>
      </c>
      <c r="S37" s="34" t="s">
        <v>155</v>
      </c>
      <c r="T37" s="34" t="s">
        <v>155</v>
      </c>
      <c r="U37" s="34" t="s">
        <v>155</v>
      </c>
      <c r="V37" s="34" t="s">
        <v>155</v>
      </c>
      <c r="W37" s="34"/>
      <c r="X37" s="34"/>
      <c r="Y37" s="34"/>
    </row>
    <row r="38" customHeight="1" spans="1:25">
      <c r="A38" s="52" t="s">
        <v>156</v>
      </c>
      <c r="D38" s="78">
        <v>0.62</v>
      </c>
      <c r="E38" s="78">
        <v>1.32</v>
      </c>
      <c r="F38" s="78">
        <v>0.5</v>
      </c>
      <c r="G38" s="78">
        <f>G36/4.11</f>
        <v>0.0595192817518244</v>
      </c>
      <c r="H38" s="78">
        <f t="shared" ref="H38:M38" si="19">H36/4.11</f>
        <v>0.179369142653285</v>
      </c>
      <c r="I38" s="78">
        <f t="shared" si="19"/>
        <v>0.333050250970511</v>
      </c>
      <c r="J38" s="78">
        <f t="shared" si="19"/>
        <v>0.677903392884399</v>
      </c>
      <c r="K38" s="78">
        <f t="shared" si="19"/>
        <v>1.10198957071312</v>
      </c>
      <c r="L38" s="78">
        <f t="shared" si="19"/>
        <v>1.58787745023726</v>
      </c>
      <c r="M38" s="78">
        <f t="shared" si="19"/>
        <v>2.03224191054392</v>
      </c>
      <c r="O38" s="34" t="s">
        <v>155</v>
      </c>
      <c r="P38" s="34" t="s">
        <v>155</v>
      </c>
      <c r="Q38" s="34" t="s">
        <v>155</v>
      </c>
      <c r="R38" s="34" t="s">
        <v>155</v>
      </c>
      <c r="S38" s="34" t="s">
        <v>155</v>
      </c>
      <c r="T38" s="34" t="s">
        <v>155</v>
      </c>
      <c r="U38" s="34" t="s">
        <v>155</v>
      </c>
      <c r="V38" s="34" t="s">
        <v>155</v>
      </c>
      <c r="W38" s="34"/>
      <c r="X38" s="34"/>
      <c r="Y38" s="34"/>
    </row>
    <row r="39" customHeight="1" spans="1:25">
      <c r="A39" s="52"/>
      <c r="B39" s="34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</row>
    <row r="40" customHeight="1" spans="1:25">
      <c r="A40" s="52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</row>
    <row r="41" customHeight="1" spans="1:25">
      <c r="A41" s="52"/>
      <c r="B41" s="34"/>
      <c r="C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</row>
    <row r="42" customHeight="1" spans="1:13">
      <c r="A42" s="52"/>
      <c r="B42" s="34"/>
      <c r="C42" s="34"/>
      <c r="D42" s="34"/>
      <c r="E42" s="34"/>
      <c r="F42" s="34"/>
      <c r="G42" s="34"/>
      <c r="H42" s="34"/>
      <c r="I42" s="34"/>
      <c r="J42" s="34"/>
      <c r="K42" s="34"/>
      <c r="L42" s="34"/>
      <c r="M42" s="34"/>
    </row>
    <row r="43" customHeight="1" spans="1:13">
      <c r="A43" s="52"/>
      <c r="C43" s="34"/>
      <c r="D43" s="34"/>
      <c r="E43" s="34"/>
      <c r="F43" s="34"/>
      <c r="G43" s="34"/>
      <c r="H43" s="34"/>
      <c r="I43" s="34"/>
      <c r="J43" s="34"/>
      <c r="K43" s="34"/>
      <c r="L43" s="34"/>
      <c r="M43" s="34"/>
    </row>
    <row r="44" customHeight="1" spans="1:1">
      <c r="A44" s="52"/>
    </row>
    <row r="45" customHeight="1" spans="1:13">
      <c r="A45" s="52"/>
      <c r="C45" s="34"/>
      <c r="D45" s="34"/>
      <c r="E45" s="34"/>
      <c r="F45" s="34"/>
      <c r="G45" s="34"/>
      <c r="H45" s="34"/>
      <c r="I45" s="34"/>
      <c r="J45" s="34"/>
      <c r="K45" s="34"/>
      <c r="L45" s="34"/>
      <c r="M45" s="34"/>
    </row>
    <row r="46" customHeight="1" spans="1:1">
      <c r="A46" s="52"/>
    </row>
    <row r="47" customHeight="1" spans="1:1">
      <c r="A47" s="52"/>
    </row>
    <row r="48" customHeight="1" spans="1:1">
      <c r="A48" s="52"/>
    </row>
    <row r="49" customHeight="1" spans="1:13">
      <c r="A49" s="52"/>
      <c r="B49" s="34"/>
      <c r="C49" s="34"/>
      <c r="D49" s="34"/>
      <c r="E49" s="34"/>
      <c r="F49" s="34"/>
      <c r="G49" s="34"/>
      <c r="H49" s="34"/>
      <c r="I49" s="34"/>
      <c r="J49" s="34"/>
      <c r="K49" s="34"/>
      <c r="L49" s="34"/>
      <c r="M49" s="34"/>
    </row>
    <row r="50" customHeight="1" spans="1:13">
      <c r="A50" s="52"/>
      <c r="B50" s="34"/>
      <c r="C50" s="34"/>
      <c r="D50" s="34"/>
      <c r="E50" s="34"/>
      <c r="F50" s="34"/>
      <c r="G50" s="34"/>
      <c r="H50" s="34"/>
      <c r="I50" s="34"/>
      <c r="J50" s="34"/>
      <c r="K50" s="34"/>
      <c r="L50" s="34"/>
      <c r="M50" s="34"/>
    </row>
    <row r="65" customHeight="1" spans="1:1">
      <c r="A65" s="52" t="s">
        <v>33</v>
      </c>
    </row>
    <row r="66" customHeight="1" spans="1:1">
      <c r="A66" s="59" t="s">
        <v>157</v>
      </c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M27"/>
  <sheetViews>
    <sheetView showGridLines="0" workbookViewId="0">
      <pane xSplit="6" ySplit="3" topLeftCell="G4" activePane="bottomRight" state="frozen"/>
      <selection/>
      <selection pane="topRight"/>
      <selection pane="bottomLeft"/>
      <selection pane="bottomRight" activeCell="I34" sqref="I34"/>
    </sheetView>
  </sheetViews>
  <sheetFormatPr defaultColWidth="9" defaultRowHeight="14.25"/>
  <cols>
    <col min="2" max="2" width="14.25" style="52" customWidth="1"/>
    <col min="3" max="3" width="12.75" style="52" customWidth="1"/>
    <col min="4" max="6" width="12.625" style="34"/>
    <col min="7" max="8" width="9" style="34"/>
    <col min="9" max="9" width="11.5" style="34"/>
    <col min="10" max="13" width="12.625" style="34"/>
  </cols>
  <sheetData>
    <row r="3" spans="2:13">
      <c r="B3" s="52" t="s">
        <v>158</v>
      </c>
      <c r="D3" s="34">
        <v>2016</v>
      </c>
      <c r="E3" s="34">
        <v>2017</v>
      </c>
      <c r="F3" s="34">
        <v>2018</v>
      </c>
      <c r="G3" s="34">
        <v>2019</v>
      </c>
      <c r="H3" s="34">
        <v>2020</v>
      </c>
      <c r="I3" s="34">
        <v>2021</v>
      </c>
      <c r="J3" s="34">
        <v>2022</v>
      </c>
      <c r="K3" s="34">
        <v>2023</v>
      </c>
      <c r="L3" s="34">
        <v>2024</v>
      </c>
      <c r="M3" s="34">
        <v>2025</v>
      </c>
    </row>
    <row r="4" spans="3:13">
      <c r="C4" s="52" t="s">
        <v>159</v>
      </c>
      <c r="D4" s="34">
        <f>D11</f>
        <v>0.01</v>
      </c>
      <c r="E4" s="34">
        <f>E11</f>
        <v>0.46</v>
      </c>
      <c r="F4" s="34">
        <f>F11</f>
        <v>0.00999999999999979</v>
      </c>
      <c r="G4" s="34">
        <f t="shared" ref="G4:M4" si="0">G11</f>
        <v>0.03</v>
      </c>
      <c r="H4" s="34">
        <f t="shared" si="0"/>
        <v>2.5</v>
      </c>
      <c r="I4" s="34">
        <f t="shared" si="0"/>
        <v>2.5</v>
      </c>
      <c r="J4" s="34">
        <f t="shared" si="0"/>
        <v>4</v>
      </c>
      <c r="K4" s="34">
        <f t="shared" si="0"/>
        <v>3.5</v>
      </c>
      <c r="L4" s="34">
        <f t="shared" si="0"/>
        <v>2</v>
      </c>
      <c r="M4" s="34">
        <f t="shared" si="0"/>
        <v>2</v>
      </c>
    </row>
    <row r="5" spans="3:13">
      <c r="C5" s="52" t="s">
        <v>160</v>
      </c>
      <c r="D5" s="34">
        <f>D18</f>
        <v>0</v>
      </c>
      <c r="E5" s="34">
        <f t="shared" ref="E5:M5" si="1">E18</f>
        <v>-0.01</v>
      </c>
      <c r="F5" s="34">
        <f t="shared" si="1"/>
        <v>0</v>
      </c>
      <c r="G5" s="34">
        <f t="shared" si="1"/>
        <v>0.74</v>
      </c>
      <c r="H5" s="34">
        <f t="shared" si="1"/>
        <v>1</v>
      </c>
      <c r="I5" s="34">
        <f t="shared" si="1"/>
        <v>1.5</v>
      </c>
      <c r="J5" s="34">
        <f t="shared" si="1"/>
        <v>0</v>
      </c>
      <c r="K5" s="34">
        <f t="shared" si="1"/>
        <v>0</v>
      </c>
      <c r="L5" s="34">
        <f t="shared" si="1"/>
        <v>0</v>
      </c>
      <c r="M5" s="34">
        <f t="shared" si="1"/>
        <v>0</v>
      </c>
    </row>
    <row r="6" spans="3:13">
      <c r="C6" s="52" t="s">
        <v>161</v>
      </c>
      <c r="D6" s="34">
        <v>0</v>
      </c>
      <c r="E6" s="34">
        <v>0</v>
      </c>
      <c r="F6" s="34">
        <v>0</v>
      </c>
      <c r="G6" s="34">
        <v>1.29</v>
      </c>
      <c r="H6" s="34">
        <v>0</v>
      </c>
      <c r="I6" s="34">
        <v>0</v>
      </c>
      <c r="J6" s="34">
        <v>0</v>
      </c>
      <c r="K6" s="34">
        <v>0.2</v>
      </c>
      <c r="L6" s="34">
        <v>0.3</v>
      </c>
      <c r="M6" s="34">
        <v>0.2</v>
      </c>
    </row>
    <row r="7" spans="3:13">
      <c r="C7" s="52" t="s">
        <v>162</v>
      </c>
      <c r="D7" s="34">
        <f>SUM(D4:D6)</f>
        <v>0.01</v>
      </c>
      <c r="E7" s="34">
        <f t="shared" ref="E7:M7" si="2">SUM(E4:E6)</f>
        <v>0.45</v>
      </c>
      <c r="F7" s="34">
        <f t="shared" si="2"/>
        <v>0.00999999999999979</v>
      </c>
      <c r="G7" s="34">
        <f t="shared" si="2"/>
        <v>2.06</v>
      </c>
      <c r="H7" s="34">
        <f t="shared" si="2"/>
        <v>3.5</v>
      </c>
      <c r="I7" s="34">
        <f t="shared" si="2"/>
        <v>4</v>
      </c>
      <c r="J7" s="34">
        <f t="shared" si="2"/>
        <v>4</v>
      </c>
      <c r="K7" s="34">
        <f t="shared" si="2"/>
        <v>3.7</v>
      </c>
      <c r="L7" s="34">
        <f t="shared" si="2"/>
        <v>2.3</v>
      </c>
      <c r="M7" s="34">
        <f t="shared" si="2"/>
        <v>2.2</v>
      </c>
    </row>
    <row r="8" spans="7:7">
      <c r="G8" s="68"/>
    </row>
    <row r="10" spans="2:13">
      <c r="B10" s="52" t="s">
        <v>163</v>
      </c>
      <c r="C10" s="52" t="s">
        <v>164</v>
      </c>
      <c r="D10" s="34">
        <f>BS!C16</f>
        <v>0.46</v>
      </c>
      <c r="E10" s="34">
        <f>BS!D16</f>
        <v>0.52</v>
      </c>
      <c r="F10" s="34">
        <f>BS!E16</f>
        <v>1.05</v>
      </c>
      <c r="G10" s="34">
        <f>BS!F16</f>
        <v>1.15</v>
      </c>
      <c r="H10" s="39">
        <f t="shared" ref="H10:M10" si="3">G14</f>
        <v>1.07616</v>
      </c>
      <c r="I10" s="39">
        <f t="shared" si="3"/>
        <v>3.26145792</v>
      </c>
      <c r="J10" s="39">
        <f t="shared" si="3"/>
        <v>5.25444962304</v>
      </c>
      <c r="K10" s="39">
        <f t="shared" si="3"/>
        <v>8.44005805621248</v>
      </c>
      <c r="L10" s="39">
        <f t="shared" si="3"/>
        <v>10.8893329472658</v>
      </c>
      <c r="M10" s="39">
        <f t="shared" si="3"/>
        <v>11.7550716479064</v>
      </c>
    </row>
    <row r="11" spans="3:13">
      <c r="C11" s="52" t="s">
        <v>165</v>
      </c>
      <c r="D11" s="34">
        <f>D14-D12-D10</f>
        <v>0.01</v>
      </c>
      <c r="E11" s="34">
        <f>E14-E12-E10</f>
        <v>0.46</v>
      </c>
      <c r="F11" s="34">
        <f>F14-F12-F10</f>
        <v>0.00999999999999979</v>
      </c>
      <c r="G11" s="34">
        <v>0.03</v>
      </c>
      <c r="H11" s="34">
        <v>2.5</v>
      </c>
      <c r="I11" s="34">
        <v>2.5</v>
      </c>
      <c r="J11" s="34">
        <v>4</v>
      </c>
      <c r="K11" s="34">
        <v>3.5</v>
      </c>
      <c r="L11" s="34">
        <v>2</v>
      </c>
      <c r="M11" s="34">
        <v>2</v>
      </c>
    </row>
    <row r="12" spans="3:13">
      <c r="C12" s="52" t="s">
        <v>166</v>
      </c>
      <c r="D12" s="34">
        <f>CS!E6</f>
        <v>0.05</v>
      </c>
      <c r="E12" s="34">
        <f>CS!F6</f>
        <v>0.07</v>
      </c>
      <c r="F12" s="34">
        <f>CS!G6</f>
        <v>0.09</v>
      </c>
      <c r="G12" s="40">
        <f>(G10+G11)*G13</f>
        <v>0.10384</v>
      </c>
      <c r="H12" s="40">
        <f t="shared" ref="H12:M12" si="4">(H10+H11)*H13</f>
        <v>0.31470208</v>
      </c>
      <c r="I12" s="40">
        <f t="shared" si="4"/>
        <v>0.50700829696</v>
      </c>
      <c r="J12" s="40">
        <f t="shared" si="4"/>
        <v>0.81439156682752</v>
      </c>
      <c r="K12" s="40">
        <f t="shared" si="4"/>
        <v>1.0507251089467</v>
      </c>
      <c r="L12" s="40">
        <f t="shared" si="4"/>
        <v>1.13426129935939</v>
      </c>
      <c r="M12" s="40">
        <f t="shared" si="4"/>
        <v>1.21044630501576</v>
      </c>
    </row>
    <row r="13" spans="3:13">
      <c r="C13" s="52" t="s">
        <v>167</v>
      </c>
      <c r="D13" s="61">
        <f>D12/(D10+D11)</f>
        <v>0.106382978723404</v>
      </c>
      <c r="E13" s="61">
        <f>E12/(E10+E11)</f>
        <v>0.0714285714285714</v>
      </c>
      <c r="F13" s="61">
        <f>F12/(F10+F11)</f>
        <v>0.0849056603773585</v>
      </c>
      <c r="G13" s="69">
        <v>0.088</v>
      </c>
      <c r="H13" s="61">
        <f t="shared" ref="H13:M13" si="5">G13</f>
        <v>0.088</v>
      </c>
      <c r="I13" s="61">
        <f t="shared" si="5"/>
        <v>0.088</v>
      </c>
      <c r="J13" s="61">
        <f t="shared" si="5"/>
        <v>0.088</v>
      </c>
      <c r="K13" s="61">
        <f t="shared" si="5"/>
        <v>0.088</v>
      </c>
      <c r="L13" s="61">
        <f t="shared" si="5"/>
        <v>0.088</v>
      </c>
      <c r="M13" s="61">
        <f t="shared" si="5"/>
        <v>0.088</v>
      </c>
    </row>
    <row r="14" spans="3:13">
      <c r="C14" s="52" t="s">
        <v>168</v>
      </c>
      <c r="D14" s="34">
        <f>BS!D16</f>
        <v>0.52</v>
      </c>
      <c r="E14" s="34">
        <f>BS!E16</f>
        <v>1.05</v>
      </c>
      <c r="F14" s="34">
        <f>BS!F16</f>
        <v>1.15</v>
      </c>
      <c r="G14" s="39">
        <f>G10+G11-G12</f>
        <v>1.07616</v>
      </c>
      <c r="H14" s="39">
        <f t="shared" ref="H14:M14" si="6">H10+H11-H12</f>
        <v>3.26145792</v>
      </c>
      <c r="I14" s="39">
        <f t="shared" si="6"/>
        <v>5.25444962304</v>
      </c>
      <c r="J14" s="39">
        <f t="shared" si="6"/>
        <v>8.44005805621248</v>
      </c>
      <c r="K14" s="39">
        <f t="shared" si="6"/>
        <v>10.8893329472658</v>
      </c>
      <c r="L14" s="39">
        <f t="shared" si="6"/>
        <v>11.7550716479064</v>
      </c>
      <c r="M14" s="39">
        <f t="shared" si="6"/>
        <v>12.5446253428906</v>
      </c>
    </row>
    <row r="17" spans="2:13">
      <c r="B17" s="52" t="s">
        <v>169</v>
      </c>
      <c r="C17" s="52" t="s">
        <v>164</v>
      </c>
      <c r="D17" s="34">
        <f>BS!C18</f>
        <v>0.05</v>
      </c>
      <c r="E17" s="34">
        <f>BS!D18</f>
        <v>0.06</v>
      </c>
      <c r="F17" s="34">
        <f>BS!E18</f>
        <v>0.06</v>
      </c>
      <c r="G17" s="39">
        <f>BS!F18</f>
        <v>0.08</v>
      </c>
      <c r="H17" s="39">
        <f t="shared" ref="H17:M17" si="7">G21</f>
        <v>0.615</v>
      </c>
      <c r="I17" s="39">
        <f t="shared" si="7"/>
        <v>1.21125</v>
      </c>
      <c r="J17" s="39">
        <f t="shared" si="7"/>
        <v>2.0334375</v>
      </c>
      <c r="K17" s="39">
        <f t="shared" si="7"/>
        <v>1.525078125</v>
      </c>
      <c r="L17" s="39">
        <f t="shared" si="7"/>
        <v>1.14380859375</v>
      </c>
      <c r="M17" s="39">
        <f t="shared" si="7"/>
        <v>0.8578564453125</v>
      </c>
    </row>
    <row r="18" spans="3:13">
      <c r="C18" s="52" t="s">
        <v>165</v>
      </c>
      <c r="D18" s="34">
        <f>D21-D19-D17</f>
        <v>0</v>
      </c>
      <c r="E18" s="34">
        <f>E21-E19-E17</f>
        <v>-0.01</v>
      </c>
      <c r="F18" s="34">
        <f>F21-F19-F17</f>
        <v>0</v>
      </c>
      <c r="G18" s="39">
        <v>0.74</v>
      </c>
      <c r="H18" s="39">
        <v>1</v>
      </c>
      <c r="I18" s="39">
        <v>1.5</v>
      </c>
      <c r="J18" s="39">
        <v>0</v>
      </c>
      <c r="K18" s="39">
        <v>0</v>
      </c>
      <c r="L18" s="39">
        <v>0</v>
      </c>
      <c r="M18" s="39">
        <v>0</v>
      </c>
    </row>
    <row r="19" spans="3:13">
      <c r="C19" s="52" t="s">
        <v>170</v>
      </c>
      <c r="D19" s="34">
        <f>CS!E7</f>
        <v>0.01</v>
      </c>
      <c r="E19" s="34">
        <f>CS!F7</f>
        <v>0.01</v>
      </c>
      <c r="F19" s="34">
        <f>CS!G7</f>
        <v>0.02</v>
      </c>
      <c r="G19" s="39">
        <f t="shared" ref="G19:M19" si="8">(G17+G18)*G20</f>
        <v>0.205</v>
      </c>
      <c r="H19" s="39">
        <f t="shared" si="8"/>
        <v>0.40375</v>
      </c>
      <c r="I19" s="39">
        <f t="shared" si="8"/>
        <v>0.6778125</v>
      </c>
      <c r="J19" s="39">
        <f t="shared" si="8"/>
        <v>0.508359375</v>
      </c>
      <c r="K19" s="39">
        <f t="shared" si="8"/>
        <v>0.38126953125</v>
      </c>
      <c r="L19" s="39">
        <f t="shared" si="8"/>
        <v>0.2859521484375</v>
      </c>
      <c r="M19" s="39">
        <f t="shared" si="8"/>
        <v>0.214464111328125</v>
      </c>
    </row>
    <row r="20" spans="3:13">
      <c r="C20" s="52" t="s">
        <v>171</v>
      </c>
      <c r="D20" s="70">
        <f>D19/(D17+D18)</f>
        <v>0.2</v>
      </c>
      <c r="E20" s="70">
        <f>E19/(E17+E18)</f>
        <v>0.2</v>
      </c>
      <c r="F20" s="70">
        <f>F19/(F17+F18)</f>
        <v>0.333333333333333</v>
      </c>
      <c r="G20" s="39">
        <v>0.25</v>
      </c>
      <c r="H20" s="39">
        <f t="shared" ref="H20:M20" si="9">G20</f>
        <v>0.25</v>
      </c>
      <c r="I20" s="39">
        <f t="shared" si="9"/>
        <v>0.25</v>
      </c>
      <c r="J20" s="39">
        <f t="shared" si="9"/>
        <v>0.25</v>
      </c>
      <c r="K20" s="39">
        <f t="shared" si="9"/>
        <v>0.25</v>
      </c>
      <c r="L20" s="39">
        <f t="shared" si="9"/>
        <v>0.25</v>
      </c>
      <c r="M20" s="39">
        <f t="shared" si="9"/>
        <v>0.25</v>
      </c>
    </row>
    <row r="21" spans="3:13">
      <c r="C21" s="52" t="s">
        <v>168</v>
      </c>
      <c r="D21" s="34">
        <f>BS!D18</f>
        <v>0.06</v>
      </c>
      <c r="E21" s="34">
        <f>BS!E18</f>
        <v>0.06</v>
      </c>
      <c r="F21" s="34">
        <f>BS!F18</f>
        <v>0.08</v>
      </c>
      <c r="G21" s="39">
        <f>G17+G18-G19</f>
        <v>0.615</v>
      </c>
      <c r="H21" s="39">
        <f t="shared" ref="H21:M21" si="10">H17+H18-H19</f>
        <v>1.21125</v>
      </c>
      <c r="I21" s="39">
        <f t="shared" si="10"/>
        <v>2.0334375</v>
      </c>
      <c r="J21" s="39">
        <f t="shared" si="10"/>
        <v>1.525078125</v>
      </c>
      <c r="K21" s="39">
        <f t="shared" si="10"/>
        <v>1.14380859375</v>
      </c>
      <c r="L21" s="39">
        <f t="shared" si="10"/>
        <v>0.8578564453125</v>
      </c>
      <c r="M21" s="39">
        <f t="shared" si="10"/>
        <v>0.643392333984375</v>
      </c>
    </row>
    <row r="24" spans="2:13">
      <c r="B24" s="52" t="s">
        <v>172</v>
      </c>
      <c r="C24" s="52" t="s">
        <v>164</v>
      </c>
      <c r="H24" s="34">
        <f t="shared" ref="H24:M24" si="11">G27</f>
        <v>1.29</v>
      </c>
      <c r="I24" s="34">
        <f t="shared" si="11"/>
        <v>1.29</v>
      </c>
      <c r="J24" s="34">
        <f t="shared" si="11"/>
        <v>1.29</v>
      </c>
      <c r="K24" s="34">
        <f t="shared" si="11"/>
        <v>1.29</v>
      </c>
      <c r="L24" s="34">
        <f t="shared" si="11"/>
        <v>1.31</v>
      </c>
      <c r="M24" s="34">
        <f t="shared" si="11"/>
        <v>1.61</v>
      </c>
    </row>
    <row r="25" spans="3:13">
      <c r="C25" s="52" t="s">
        <v>165</v>
      </c>
      <c r="H25" s="34">
        <v>0</v>
      </c>
      <c r="I25" s="34">
        <v>0</v>
      </c>
      <c r="J25" s="34">
        <v>0</v>
      </c>
      <c r="K25" s="34">
        <v>0</v>
      </c>
      <c r="L25" s="34">
        <v>0.3</v>
      </c>
      <c r="M25" s="34">
        <v>0.2</v>
      </c>
    </row>
    <row r="26" spans="3:13">
      <c r="C26" s="52" t="s">
        <v>173</v>
      </c>
      <c r="H26" s="34">
        <v>0</v>
      </c>
      <c r="I26" s="34">
        <v>0</v>
      </c>
      <c r="J26" s="34">
        <v>0</v>
      </c>
      <c r="K26" s="34">
        <v>0</v>
      </c>
      <c r="L26" s="34">
        <v>0</v>
      </c>
      <c r="M26" s="34">
        <v>0</v>
      </c>
    </row>
    <row r="27" spans="3:13">
      <c r="C27" s="52" t="s">
        <v>168</v>
      </c>
      <c r="G27" s="34">
        <v>1.29</v>
      </c>
      <c r="H27" s="34">
        <v>1.29</v>
      </c>
      <c r="I27" s="34">
        <v>1.29</v>
      </c>
      <c r="J27" s="34">
        <v>1.29</v>
      </c>
      <c r="K27" s="34">
        <v>1.31</v>
      </c>
      <c r="L27" s="34">
        <v>1.61</v>
      </c>
      <c r="M27" s="34">
        <v>1.81</v>
      </c>
    </row>
  </sheetData>
  <pageMargins left="0.75" right="0.75" top="1" bottom="1" header="0.5" footer="0.5"/>
  <headerFooter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4:P27"/>
  <sheetViews>
    <sheetView showGridLines="0" workbookViewId="0">
      <pane xSplit="9" ySplit="4" topLeftCell="J5" activePane="bottomRight" state="frozen"/>
      <selection/>
      <selection pane="topRight"/>
      <selection pane="bottomLeft"/>
      <selection pane="bottomRight" activeCell="E26" sqref="E26"/>
    </sheetView>
  </sheetViews>
  <sheetFormatPr defaultColWidth="9" defaultRowHeight="14.25"/>
  <cols>
    <col min="3" max="3" width="16.875" style="63" customWidth="1"/>
    <col min="4" max="4" width="27.375" style="63" customWidth="1"/>
    <col min="5" max="5" width="12.625" style="63"/>
    <col min="6" max="9" width="13.75" style="63"/>
    <col min="10" max="12" width="9" style="63"/>
    <col min="13" max="14" width="12.625" style="63"/>
    <col min="15" max="16" width="9" style="63"/>
  </cols>
  <sheetData>
    <row r="4" spans="3:16">
      <c r="C4" s="34" t="s">
        <v>174</v>
      </c>
      <c r="E4" s="63">
        <v>2014</v>
      </c>
      <c r="F4" s="63">
        <v>2015</v>
      </c>
      <c r="G4" s="63">
        <v>2016</v>
      </c>
      <c r="H4" s="63">
        <v>2017</v>
      </c>
      <c r="I4" s="63">
        <v>2018</v>
      </c>
      <c r="J4" s="63">
        <v>2019</v>
      </c>
      <c r="K4" s="63">
        <v>2020</v>
      </c>
      <c r="L4" s="63">
        <v>2021</v>
      </c>
      <c r="M4" s="63">
        <v>2022</v>
      </c>
      <c r="N4" s="63">
        <v>2023</v>
      </c>
      <c r="O4" s="63">
        <v>2024</v>
      </c>
      <c r="P4" s="63">
        <v>2025</v>
      </c>
    </row>
    <row r="5" spans="4:16">
      <c r="D5" s="34" t="s">
        <v>175</v>
      </c>
      <c r="E5" s="64">
        <f>IS!C4/BS!B6</f>
        <v>9.39130434782609</v>
      </c>
      <c r="F5" s="64">
        <f>IS!D4/BS!C6</f>
        <v>17.0888888888889</v>
      </c>
      <c r="G5" s="64">
        <f>IS!E4/BS!D6</f>
        <v>19.1967213114754</v>
      </c>
      <c r="H5" s="64">
        <f>IS!F4/BS!E6</f>
        <v>17.3263157894737</v>
      </c>
      <c r="I5" s="64">
        <f>IS!G4/BS!F6</f>
        <v>22.45</v>
      </c>
      <c r="J5" s="64">
        <v>18</v>
      </c>
      <c r="K5" s="67">
        <v>18.5</v>
      </c>
      <c r="L5" s="64">
        <v>19</v>
      </c>
      <c r="M5" s="64">
        <v>18.5</v>
      </c>
      <c r="N5" s="64">
        <v>19</v>
      </c>
      <c r="O5" s="64">
        <v>20</v>
      </c>
      <c r="P5" s="64">
        <v>21</v>
      </c>
    </row>
    <row r="6" spans="4:16">
      <c r="D6" s="34" t="s">
        <v>176</v>
      </c>
      <c r="E6" s="63">
        <f>IS!C4/BS!B7</f>
        <v>48</v>
      </c>
      <c r="F6" s="64">
        <f>IS!D4/BS!C7</f>
        <v>64.0833333333333</v>
      </c>
      <c r="G6" s="64">
        <f>IS!E4/BS!D7</f>
        <v>36.59375</v>
      </c>
      <c r="H6" s="64">
        <f>IS!F4/BS!E7</f>
        <v>38.2790697674419</v>
      </c>
      <c r="I6" s="64">
        <f>IS!G4/BS!F7</f>
        <v>42.3584905660377</v>
      </c>
      <c r="J6" s="63">
        <v>45</v>
      </c>
      <c r="K6" s="63">
        <f t="shared" ref="K6:P6" si="0">J6</f>
        <v>45</v>
      </c>
      <c r="L6" s="63">
        <f t="shared" si="0"/>
        <v>45</v>
      </c>
      <c r="M6" s="63">
        <f t="shared" si="0"/>
        <v>45</v>
      </c>
      <c r="N6" s="63">
        <f t="shared" si="0"/>
        <v>45</v>
      </c>
      <c r="O6" s="63">
        <f t="shared" si="0"/>
        <v>45</v>
      </c>
      <c r="P6" s="63">
        <f t="shared" si="0"/>
        <v>45</v>
      </c>
    </row>
    <row r="7" spans="4:16">
      <c r="D7" s="34" t="s">
        <v>177</v>
      </c>
      <c r="E7" s="65">
        <f>IS!C4/BS!B8</f>
        <v>86.4</v>
      </c>
      <c r="F7" s="65">
        <f>IS!D4/BS!C8</f>
        <v>96.125</v>
      </c>
      <c r="G7" s="65">
        <f>IS!E4/BS!D8</f>
        <v>195.166666666667</v>
      </c>
      <c r="H7" s="65">
        <f>IS!F4/BS!E8</f>
        <v>274.333333333333</v>
      </c>
      <c r="I7" s="65">
        <f>IS!G4/BS!F8</f>
        <v>93.5416666666667</v>
      </c>
      <c r="J7" s="63">
        <v>220</v>
      </c>
      <c r="K7" s="63">
        <v>200</v>
      </c>
      <c r="L7" s="63">
        <v>165</v>
      </c>
      <c r="M7" s="63">
        <f>L7</f>
        <v>165</v>
      </c>
      <c r="N7" s="63">
        <f>M7</f>
        <v>165</v>
      </c>
      <c r="O7" s="63">
        <f>N7</f>
        <v>165</v>
      </c>
      <c r="P7" s="63">
        <f>O7</f>
        <v>165</v>
      </c>
    </row>
    <row r="8" spans="4:16">
      <c r="D8" s="34" t="s">
        <v>178</v>
      </c>
      <c r="E8" s="66">
        <f>IS!C4/BS!B11</f>
        <v>5.76</v>
      </c>
      <c r="F8" s="66">
        <f>IS!D4/BS!C11</f>
        <v>3.11336032388664</v>
      </c>
      <c r="G8" s="66">
        <f>IS!E4/BS!D11</f>
        <v>3.72929936305732</v>
      </c>
      <c r="H8" s="66">
        <f>IS!F4/BS!E11</f>
        <v>5.94223826714801</v>
      </c>
      <c r="I8" s="66">
        <f>IS!G4/BS!F11</f>
        <v>3.96643109540636</v>
      </c>
      <c r="J8" s="63">
        <v>4.5</v>
      </c>
      <c r="K8" s="63">
        <f t="shared" ref="K8:P8" si="1">J8</f>
        <v>4.5</v>
      </c>
      <c r="L8" s="63">
        <f t="shared" si="1"/>
        <v>4.5</v>
      </c>
      <c r="M8" s="63">
        <f t="shared" si="1"/>
        <v>4.5</v>
      </c>
      <c r="N8" s="63">
        <f t="shared" si="1"/>
        <v>4.5</v>
      </c>
      <c r="O8" s="63">
        <f t="shared" si="1"/>
        <v>4.5</v>
      </c>
      <c r="P8" s="63">
        <f t="shared" si="1"/>
        <v>4.5</v>
      </c>
    </row>
    <row r="9" spans="4:16">
      <c r="D9" s="34" t="s">
        <v>179</v>
      </c>
      <c r="E9" s="63">
        <f>IS!C4/BS!B12</f>
        <v>432</v>
      </c>
      <c r="F9" s="66">
        <f>IS!D4/BS!C12</f>
        <v>153.8</v>
      </c>
      <c r="G9" s="66">
        <f>IS!E4/BS!D12</f>
        <v>40.3793103448276</v>
      </c>
      <c r="H9" s="66">
        <f>IS!F4/BS!E12</f>
        <v>45.7222222222222</v>
      </c>
      <c r="I9" s="66">
        <f>IS!G4/BS!F12</f>
        <v>4.66735966735967</v>
      </c>
      <c r="J9" s="63">
        <v>5.6</v>
      </c>
      <c r="K9" s="63">
        <f t="shared" ref="K9:P9" si="2">J9</f>
        <v>5.6</v>
      </c>
      <c r="L9" s="63">
        <f t="shared" si="2"/>
        <v>5.6</v>
      </c>
      <c r="M9" s="63">
        <f t="shared" si="2"/>
        <v>5.6</v>
      </c>
      <c r="N9" s="63">
        <f t="shared" si="2"/>
        <v>5.6</v>
      </c>
      <c r="O9" s="63">
        <f t="shared" si="2"/>
        <v>5.6</v>
      </c>
      <c r="P9" s="63">
        <f t="shared" si="2"/>
        <v>5.6</v>
      </c>
    </row>
    <row r="12" spans="3:3">
      <c r="C12" s="34" t="s">
        <v>180</v>
      </c>
    </row>
    <row r="13" spans="4:16">
      <c r="D13" s="34" t="s">
        <v>181</v>
      </c>
      <c r="E13" s="63">
        <f>IS!C4/BS!B19</f>
        <v>144</v>
      </c>
      <c r="F13" s="64">
        <f>IS!D4/BS!C19</f>
        <v>42.7222222222222</v>
      </c>
      <c r="G13" s="64">
        <f>IS!E4/BS!D19</f>
        <v>83.6428571428571</v>
      </c>
      <c r="H13" s="64">
        <f>IS!F4/BS!E19</f>
        <v>137.166666666667</v>
      </c>
      <c r="I13" s="64">
        <f>IS!G4/BS!F19</f>
        <v>172.692307692308</v>
      </c>
      <c r="J13" s="63">
        <v>170</v>
      </c>
      <c r="K13" s="63">
        <f t="shared" ref="K13:P13" si="3">J13</f>
        <v>170</v>
      </c>
      <c r="L13" s="63">
        <f t="shared" si="3"/>
        <v>170</v>
      </c>
      <c r="M13" s="63">
        <f t="shared" si="3"/>
        <v>170</v>
      </c>
      <c r="N13" s="63">
        <f t="shared" si="3"/>
        <v>170</v>
      </c>
      <c r="O13" s="63">
        <f t="shared" si="3"/>
        <v>170</v>
      </c>
      <c r="P13" s="63">
        <f t="shared" si="3"/>
        <v>170</v>
      </c>
    </row>
    <row r="14" spans="4:16">
      <c r="D14" s="34" t="s">
        <v>182</v>
      </c>
      <c r="E14" s="63">
        <f>IS!C4/BS!B20</f>
        <v>144</v>
      </c>
      <c r="F14" s="64">
        <f>IS!D4/BS!C20</f>
        <v>192.25</v>
      </c>
      <c r="G14" s="64">
        <f>IS!E4/BS!D20</f>
        <v>78.0666666666667</v>
      </c>
      <c r="H14" s="64">
        <f>IS!F4/BS!E20</f>
        <v>96.8235294117647</v>
      </c>
      <c r="I14" s="64">
        <f>IS!G4/BS!F20</f>
        <v>204.090909090909</v>
      </c>
      <c r="J14" s="63">
        <v>200</v>
      </c>
      <c r="K14" s="63">
        <f t="shared" ref="K14:P14" si="4">J14</f>
        <v>200</v>
      </c>
      <c r="L14" s="63">
        <f t="shared" si="4"/>
        <v>200</v>
      </c>
      <c r="M14" s="63">
        <f t="shared" si="4"/>
        <v>200</v>
      </c>
      <c r="N14" s="63">
        <f t="shared" si="4"/>
        <v>200</v>
      </c>
      <c r="O14" s="63">
        <f t="shared" si="4"/>
        <v>200</v>
      </c>
      <c r="P14" s="63">
        <f t="shared" si="4"/>
        <v>200</v>
      </c>
    </row>
    <row r="17" spans="3:3">
      <c r="C17" s="34" t="s">
        <v>183</v>
      </c>
    </row>
    <row r="18" spans="4:16">
      <c r="D18" s="34" t="s">
        <v>184</v>
      </c>
      <c r="E18" s="64">
        <f>IS!C4/BS!B24</f>
        <v>5.02325581395349</v>
      </c>
      <c r="F18" s="64">
        <f>IS!D4/BS!C24</f>
        <v>3.64454976303318</v>
      </c>
      <c r="G18" s="64">
        <f>IS!E4/BS!D24</f>
        <v>6.16315789473684</v>
      </c>
      <c r="H18" s="64">
        <f>IS!F4/BS!E24</f>
        <v>12.1925925925926</v>
      </c>
      <c r="I18" s="64">
        <f>IS!G4/BS!F24</f>
        <v>6.68154761904762</v>
      </c>
      <c r="J18" s="63">
        <v>6.7</v>
      </c>
      <c r="K18" s="63">
        <f t="shared" ref="K18:P18" si="5">J18</f>
        <v>6.7</v>
      </c>
      <c r="L18" s="63">
        <f t="shared" si="5"/>
        <v>6.7</v>
      </c>
      <c r="M18" s="63">
        <f t="shared" si="5"/>
        <v>6.7</v>
      </c>
      <c r="N18" s="63">
        <f t="shared" si="5"/>
        <v>6.7</v>
      </c>
      <c r="O18" s="63">
        <f t="shared" si="5"/>
        <v>6.7</v>
      </c>
      <c r="P18" s="63">
        <f t="shared" si="5"/>
        <v>6.7</v>
      </c>
    </row>
    <row r="19" spans="4:16">
      <c r="D19" s="34" t="s">
        <v>185</v>
      </c>
      <c r="E19" s="63" t="e">
        <f>IS!C4/BS!B25</f>
        <v>#DIV/0!</v>
      </c>
      <c r="F19" s="65">
        <f>IS!D4/BS!C25</f>
        <v>51.2666666666667</v>
      </c>
      <c r="G19" s="65">
        <f>IS!E4/BS!D25</f>
        <v>195.166666666667</v>
      </c>
      <c r="H19" s="65">
        <f>IS!F4/BS!E25</f>
        <v>102.875</v>
      </c>
      <c r="I19" s="65">
        <f>IS!G4/BS!F25</f>
        <v>224.5</v>
      </c>
      <c r="J19" s="63">
        <v>120</v>
      </c>
      <c r="K19" s="63">
        <f t="shared" ref="K19:P19" si="6">J19</f>
        <v>120</v>
      </c>
      <c r="L19" s="63">
        <f t="shared" si="6"/>
        <v>120</v>
      </c>
      <c r="M19" s="63">
        <f t="shared" si="6"/>
        <v>120</v>
      </c>
      <c r="N19" s="63">
        <f t="shared" si="6"/>
        <v>120</v>
      </c>
      <c r="O19" s="63">
        <f t="shared" si="6"/>
        <v>120</v>
      </c>
      <c r="P19" s="63">
        <f t="shared" si="6"/>
        <v>120</v>
      </c>
    </row>
    <row r="20" spans="4:16">
      <c r="D20" s="34" t="s">
        <v>186</v>
      </c>
      <c r="E20" s="63">
        <f>IS!C4/BS!B26</f>
        <v>54</v>
      </c>
      <c r="F20" s="66">
        <f>IS!D4/BS!C26</f>
        <v>54.9285714285714</v>
      </c>
      <c r="G20" s="66">
        <f>IS!E4/BS!D26</f>
        <v>73.1875</v>
      </c>
      <c r="H20" s="66">
        <f>IS!F4/BS!E26</f>
        <v>49.8787878787879</v>
      </c>
      <c r="I20" s="63">
        <f>IS!G4/BS!F26</f>
        <v>89.8</v>
      </c>
      <c r="J20" s="63">
        <v>80</v>
      </c>
      <c r="K20" s="63">
        <v>70</v>
      </c>
      <c r="L20" s="63">
        <v>65</v>
      </c>
      <c r="M20" s="63">
        <f>L20</f>
        <v>65</v>
      </c>
      <c r="N20" s="63">
        <f>M20</f>
        <v>65</v>
      </c>
      <c r="O20" s="63">
        <f>N20</f>
        <v>65</v>
      </c>
      <c r="P20" s="63">
        <f>O20</f>
        <v>65</v>
      </c>
    </row>
    <row r="21" spans="4:16">
      <c r="D21" s="34" t="s">
        <v>187</v>
      </c>
      <c r="E21" s="66">
        <f>IS!C4/BS!B27</f>
        <v>17.28</v>
      </c>
      <c r="F21" s="66">
        <f>IS!D4/BS!C27</f>
        <v>64.0833333333333</v>
      </c>
      <c r="G21" s="66">
        <f>IS!E4/BS!D27</f>
        <v>195.166666666667</v>
      </c>
      <c r="H21" s="66">
        <f>IS!F4/BS!E27</f>
        <v>96.8235294117647</v>
      </c>
      <c r="I21" s="66">
        <f>IS!G4/BS!F27</f>
        <v>172.692307692308</v>
      </c>
      <c r="J21" s="63">
        <v>160</v>
      </c>
      <c r="K21" s="63">
        <f t="shared" ref="K21:P21" si="7">J21</f>
        <v>160</v>
      </c>
      <c r="L21" s="63">
        <f t="shared" si="7"/>
        <v>160</v>
      </c>
      <c r="M21" s="63">
        <f t="shared" si="7"/>
        <v>160</v>
      </c>
      <c r="N21" s="63">
        <f t="shared" si="7"/>
        <v>160</v>
      </c>
      <c r="O21" s="63">
        <f t="shared" si="7"/>
        <v>160</v>
      </c>
      <c r="P21" s="63">
        <f t="shared" si="7"/>
        <v>160</v>
      </c>
    </row>
    <row r="22" spans="4:16">
      <c r="D22" s="34" t="s">
        <v>188</v>
      </c>
      <c r="E22" s="63">
        <f>IS!C4/BS!B28</f>
        <v>24</v>
      </c>
      <c r="F22" s="66">
        <f>IS!D4/BS!C28</f>
        <v>25.6333333333333</v>
      </c>
      <c r="G22" s="66">
        <f>IS!E4/BS!D28</f>
        <v>36.59375</v>
      </c>
      <c r="H22" s="66">
        <f>IS!F4/BS!E28</f>
        <v>35.7826086956522</v>
      </c>
      <c r="I22" s="66">
        <f>IS!G4/BS!F28</f>
        <v>53.452380952381</v>
      </c>
      <c r="J22" s="63">
        <v>54</v>
      </c>
      <c r="K22" s="63">
        <f t="shared" ref="K22:P22" si="8">J22</f>
        <v>54</v>
      </c>
      <c r="L22" s="63">
        <f t="shared" si="8"/>
        <v>54</v>
      </c>
      <c r="M22" s="63">
        <f t="shared" si="8"/>
        <v>54</v>
      </c>
      <c r="N22" s="63">
        <f t="shared" si="8"/>
        <v>54</v>
      </c>
      <c r="O22" s="63">
        <f t="shared" si="8"/>
        <v>54</v>
      </c>
      <c r="P22" s="63">
        <f t="shared" si="8"/>
        <v>54</v>
      </c>
    </row>
    <row r="23" spans="4:16">
      <c r="D23" s="34" t="s">
        <v>189</v>
      </c>
      <c r="E23" s="63" t="e">
        <f>IS!C4/BS!B29</f>
        <v>#DIV/0!</v>
      </c>
      <c r="F23" s="65">
        <f>IS!D4/BS!C29</f>
        <v>384.5</v>
      </c>
      <c r="G23" s="65">
        <f>IS!E4/BS!D29</f>
        <v>390.333333333333</v>
      </c>
      <c r="H23" s="65">
        <f>IS!F4/BS!E29</f>
        <v>411.5</v>
      </c>
      <c r="I23" s="65">
        <f>IS!G4/BS!F29</f>
        <v>561.25</v>
      </c>
      <c r="J23" s="63">
        <v>500</v>
      </c>
      <c r="K23" s="63">
        <f t="shared" ref="K23:P23" si="9">J23</f>
        <v>500</v>
      </c>
      <c r="L23" s="63">
        <f t="shared" si="9"/>
        <v>500</v>
      </c>
      <c r="M23" s="63">
        <f t="shared" si="9"/>
        <v>500</v>
      </c>
      <c r="N23" s="63">
        <f t="shared" si="9"/>
        <v>500</v>
      </c>
      <c r="O23" s="63">
        <f t="shared" si="9"/>
        <v>500</v>
      </c>
      <c r="P23" s="63">
        <f t="shared" si="9"/>
        <v>500</v>
      </c>
    </row>
    <row r="24" spans="3:3">
      <c r="C24" s="34"/>
    </row>
    <row r="25" spans="4:4">
      <c r="D25" s="34"/>
    </row>
    <row r="27" spans="6:9">
      <c r="F27" s="66"/>
      <c r="G27" s="66"/>
      <c r="H27" s="66"/>
      <c r="I27" s="66"/>
    </row>
  </sheetData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3:N37"/>
  <sheetViews>
    <sheetView showGridLines="0" workbookViewId="0">
      <selection activeCell="B1" sqref="B$1:N$1048576"/>
    </sheetView>
  </sheetViews>
  <sheetFormatPr defaultColWidth="9" defaultRowHeight="14.25"/>
  <cols>
    <col min="2" max="2" width="36.625" style="52" customWidth="1"/>
    <col min="3" max="3" width="9" style="34" outlineLevel="1"/>
    <col min="4" max="5" width="12.625" style="34" outlineLevel="1"/>
    <col min="6" max="14" width="12.625" style="34"/>
  </cols>
  <sheetData>
    <row r="3" spans="2:14">
      <c r="B3" s="3"/>
      <c r="C3" s="6">
        <v>2014</v>
      </c>
      <c r="D3" s="6">
        <v>2015</v>
      </c>
      <c r="E3" s="6">
        <v>2016</v>
      </c>
      <c r="F3" s="6">
        <v>2017</v>
      </c>
      <c r="G3" s="6">
        <v>2018</v>
      </c>
      <c r="H3" s="60">
        <v>2019</v>
      </c>
      <c r="I3" s="60">
        <v>2020</v>
      </c>
      <c r="J3" s="60">
        <v>2021</v>
      </c>
      <c r="K3" s="60">
        <v>2022</v>
      </c>
      <c r="L3" s="60">
        <v>2023</v>
      </c>
      <c r="M3" s="60">
        <v>2024</v>
      </c>
      <c r="N3" s="60">
        <v>2025</v>
      </c>
    </row>
    <row r="4" spans="2:14">
      <c r="B4" s="52" t="str">
        <f>利润表!A4</f>
        <v>营业总收入</v>
      </c>
      <c r="C4" s="40">
        <f>利润表!B4</f>
        <v>4.32</v>
      </c>
      <c r="D4" s="40">
        <f>利润表!C4</f>
        <v>7.69</v>
      </c>
      <c r="E4" s="40">
        <f>利润表!D4</f>
        <v>11.71</v>
      </c>
      <c r="F4" s="40">
        <f>利润表!E4</f>
        <v>16.46</v>
      </c>
      <c r="G4" s="40">
        <f>利润表!F4</f>
        <v>22.45</v>
      </c>
      <c r="H4" s="40">
        <f>利润表!G4</f>
        <v>22.9368</v>
      </c>
      <c r="I4" s="40">
        <f>利润表!H4</f>
        <v>25.392909</v>
      </c>
      <c r="J4" s="40">
        <f>利润表!I4</f>
        <v>31.73159144</v>
      </c>
      <c r="K4" s="40">
        <f>利润表!J4</f>
        <v>38.6453485868</v>
      </c>
      <c r="L4" s="40">
        <f>利润表!K4</f>
        <v>47.573373754396</v>
      </c>
      <c r="M4" s="40">
        <f>利润表!L4</f>
        <v>59.7098299493419</v>
      </c>
      <c r="N4" s="40">
        <f>利润表!M4</f>
        <v>72.3742547223118</v>
      </c>
    </row>
    <row r="5" spans="2:14">
      <c r="B5" s="52" t="str">
        <f>利润表!A5</f>
        <v>YOY</v>
      </c>
      <c r="C5" s="61">
        <f>利润表!B5</f>
        <v>0</v>
      </c>
      <c r="D5" s="61">
        <f>利润表!C5</f>
        <v>0.780092592592593</v>
      </c>
      <c r="E5" s="61">
        <f>利润表!D5</f>
        <v>0.522756827048114</v>
      </c>
      <c r="F5" s="61">
        <f>利润表!E5</f>
        <v>0.405636208368915</v>
      </c>
      <c r="G5" s="61">
        <f>利润表!F5</f>
        <v>0.363912515188335</v>
      </c>
      <c r="H5" s="61">
        <f>利润表!G5</f>
        <v>0.0216837416481068</v>
      </c>
      <c r="I5" s="61">
        <f>利润表!H5</f>
        <v>0.107081589410903</v>
      </c>
      <c r="J5" s="61">
        <f>利润表!I5</f>
        <v>0.249624115141751</v>
      </c>
      <c r="K5" s="61">
        <f>利润表!J5</f>
        <v>0.217882458239542</v>
      </c>
      <c r="L5" s="61">
        <f>利润表!K5</f>
        <v>0.231024573307783</v>
      </c>
      <c r="M5" s="61">
        <f>利润表!L5</f>
        <v>0.255110269404099</v>
      </c>
      <c r="N5" s="61">
        <f>利润表!M5</f>
        <v>0.212099494902505</v>
      </c>
    </row>
    <row r="6" spans="2:14">
      <c r="B6" s="52" t="str">
        <f>利润表!A6</f>
        <v>营业总成本</v>
      </c>
      <c r="C6" s="34">
        <f>利润表!B6</f>
        <v>3.79</v>
      </c>
      <c r="D6" s="34">
        <f>利润表!C6</f>
        <v>6.89</v>
      </c>
      <c r="E6" s="34">
        <f>利润表!D6</f>
        <v>10.96</v>
      </c>
      <c r="F6" s="34">
        <f>利润表!E6</f>
        <v>14.85</v>
      </c>
      <c r="G6" s="40">
        <f>利润表!F6</f>
        <v>21.16</v>
      </c>
      <c r="H6" s="40">
        <f>利润表!G6</f>
        <v>22.732175752</v>
      </c>
      <c r="I6" s="40">
        <f>利润表!H6</f>
        <v>24.53996609826</v>
      </c>
      <c r="J6" s="40">
        <f>利润表!I6</f>
        <v>30.0364760646816</v>
      </c>
      <c r="K6" s="40">
        <f>利润表!J6</f>
        <v>35.0871046604602</v>
      </c>
      <c r="L6" s="40">
        <f>利润表!K6</f>
        <v>41.7111375735548</v>
      </c>
      <c r="M6" s="40">
        <f>利润表!L6</f>
        <v>51.1949281887083</v>
      </c>
      <c r="N6" s="40">
        <f>利润表!M6</f>
        <v>61.4242357191977</v>
      </c>
    </row>
    <row r="7" spans="2:14">
      <c r="B7" s="52" t="str">
        <f>利润表!A7</f>
        <v>　　营业成本</v>
      </c>
      <c r="C7" s="34">
        <f>利润表!B7</f>
        <v>1.73</v>
      </c>
      <c r="D7" s="34">
        <f>利润表!C7</f>
        <v>3.45</v>
      </c>
      <c r="E7" s="34">
        <f>利润表!D7</f>
        <v>5.48</v>
      </c>
      <c r="F7" s="34">
        <f>利润表!E7</f>
        <v>7.8</v>
      </c>
      <c r="G7" s="40">
        <f>利润表!F7</f>
        <v>10.85</v>
      </c>
      <c r="H7" s="40">
        <f>利润表!G7</f>
        <v>12.020163</v>
      </c>
      <c r="I7" s="40">
        <f>利润表!H7</f>
        <v>12.63606586</v>
      </c>
      <c r="J7" s="40">
        <f>利润表!I7</f>
        <v>15.1456963538</v>
      </c>
      <c r="K7" s="40">
        <f>利润表!J7</f>
        <v>17.078060704664</v>
      </c>
      <c r="L7" s="40">
        <f>利润表!K7</f>
        <v>20.8167798393301</v>
      </c>
      <c r="M7" s="40">
        <f>利润表!L7</f>
        <v>25.0625026145011</v>
      </c>
      <c r="N7" s="40">
        <f>利润表!M7</f>
        <v>29.8846767740533</v>
      </c>
    </row>
    <row r="8" spans="2:14">
      <c r="B8" s="52" t="str">
        <f>利润表!A8</f>
        <v>　　税金及附加</v>
      </c>
      <c r="C8" s="34">
        <f>利润表!B8</f>
        <v>0.04</v>
      </c>
      <c r="D8" s="34">
        <f>利润表!C8</f>
        <v>0.06</v>
      </c>
      <c r="E8" s="34">
        <f>利润表!D8</f>
        <v>0.1</v>
      </c>
      <c r="F8" s="34">
        <f>利润表!E8</f>
        <v>0.18</v>
      </c>
      <c r="G8" s="40">
        <f>利润表!F8</f>
        <v>0.15</v>
      </c>
      <c r="H8" s="40">
        <f>利润表!G8</f>
        <v>0.1834944</v>
      </c>
      <c r="I8" s="40">
        <f>利润表!H8</f>
        <v>0.203143272</v>
      </c>
      <c r="J8" s="40">
        <f>利润表!I8</f>
        <v>0.25385273152</v>
      </c>
      <c r="K8" s="40">
        <f>利润表!J8</f>
        <v>0.3091627886944</v>
      </c>
      <c r="L8" s="40">
        <f>利润表!K8</f>
        <v>0.380586990035168</v>
      </c>
      <c r="M8" s="40">
        <f>利润表!L8</f>
        <v>0.477678639594735</v>
      </c>
      <c r="N8" s="40">
        <f>利润表!M8</f>
        <v>0.578994037778494</v>
      </c>
    </row>
    <row r="9" spans="2:14">
      <c r="B9" s="52" t="str">
        <f>利润表!A10</f>
        <v>　　销售费用</v>
      </c>
      <c r="C9" s="34">
        <f>利润表!B10</f>
        <v>1.6</v>
      </c>
      <c r="D9" s="34">
        <f>利润表!C10</f>
        <v>2.37</v>
      </c>
      <c r="E9" s="34">
        <f>利润表!D10</f>
        <v>4.1</v>
      </c>
      <c r="F9" s="34">
        <f>利润表!E10</f>
        <v>5.59</v>
      </c>
      <c r="G9" s="40">
        <f>利润表!F10</f>
        <v>8.47</v>
      </c>
      <c r="H9" s="40">
        <f>利润表!G10</f>
        <v>8.945352</v>
      </c>
      <c r="I9" s="40">
        <f>利润表!H10</f>
        <v>9.776269965</v>
      </c>
      <c r="J9" s="40">
        <f>利润表!I10</f>
        <v>12.2166627044</v>
      </c>
      <c r="K9" s="40">
        <f>利润表!J10</f>
        <v>14.49200572005</v>
      </c>
      <c r="L9" s="40">
        <f>利润表!K10</f>
        <v>16.6506808140386</v>
      </c>
      <c r="M9" s="40">
        <f>利润表!L10</f>
        <v>20.8984404822697</v>
      </c>
      <c r="N9" s="40">
        <f>利润表!M10</f>
        <v>25.3309891528091</v>
      </c>
    </row>
    <row r="10" spans="2:14">
      <c r="B10" s="52" t="str">
        <f>利润表!A12</f>
        <v>　　管理费用</v>
      </c>
      <c r="C10" s="34">
        <f>利润表!B12</f>
        <v>0.39</v>
      </c>
      <c r="D10" s="34">
        <f>利润表!C12</f>
        <v>1</v>
      </c>
      <c r="E10" s="34">
        <f>利润表!D12</f>
        <v>1.15</v>
      </c>
      <c r="F10" s="34">
        <f>利润表!E12</f>
        <v>1.14</v>
      </c>
      <c r="G10" s="40">
        <f>利润表!F12</f>
        <v>1.04</v>
      </c>
      <c r="H10" s="40">
        <f>利润表!G12</f>
        <v>0.9633456</v>
      </c>
      <c r="I10" s="40">
        <f>利润表!H12</f>
        <v>1.066502178</v>
      </c>
      <c r="J10" s="40">
        <f>利润表!I12</f>
        <v>1.2692636576</v>
      </c>
      <c r="K10" s="40">
        <f>利润表!J12</f>
        <v>1.6231046406456</v>
      </c>
      <c r="L10" s="40">
        <f>利润表!K12</f>
        <v>2.09322844519342</v>
      </c>
      <c r="M10" s="40">
        <f>利润表!L12</f>
        <v>2.74665217766973</v>
      </c>
      <c r="N10" s="40">
        <f>利润表!M12</f>
        <v>3.32921571722634</v>
      </c>
    </row>
    <row r="11" spans="2:14">
      <c r="B11" s="52" t="str">
        <f>利润表!A14</f>
        <v>　　研发费用</v>
      </c>
      <c r="C11" s="34">
        <f>利润表!B14</f>
        <v>0</v>
      </c>
      <c r="D11" s="34">
        <f>利润表!C14</f>
        <v>0</v>
      </c>
      <c r="E11" s="34">
        <f>利润表!D14</f>
        <v>0</v>
      </c>
      <c r="F11" s="34">
        <f>利润表!E14</f>
        <v>0</v>
      </c>
      <c r="G11" s="40">
        <f>利润表!F14</f>
        <v>0.46</v>
      </c>
      <c r="H11" s="39">
        <f>利润表!G14</f>
        <v>0.5046096</v>
      </c>
      <c r="I11" s="39">
        <f>利润表!H14</f>
        <v>0.609429816</v>
      </c>
      <c r="J11" s="39">
        <f>利润表!I14</f>
        <v>0.76155819456</v>
      </c>
      <c r="K11" s="39">
        <f>利润表!J14</f>
        <v>1.159360457604</v>
      </c>
      <c r="L11" s="39">
        <f>利润表!K14</f>
        <v>1.42720121263188</v>
      </c>
      <c r="M11" s="39">
        <f>利润表!L14</f>
        <v>1.79129489848026</v>
      </c>
      <c r="N11" s="39">
        <f>利润表!M14</f>
        <v>2.17122764166935</v>
      </c>
    </row>
    <row r="12" spans="2:14">
      <c r="B12" s="52" t="str">
        <f>利润表!A16</f>
        <v>　　财务费用</v>
      </c>
      <c r="C12" s="34">
        <f>利润表!B16</f>
        <v>0.01</v>
      </c>
      <c r="D12" s="34">
        <f>利润表!C16</f>
        <v>0.01</v>
      </c>
      <c r="E12" s="34">
        <f>利润表!D16</f>
        <v>0.05</v>
      </c>
      <c r="F12" s="34">
        <f>利润表!E16</f>
        <v>0.04</v>
      </c>
      <c r="G12" s="40">
        <f>利润表!F16</f>
        <v>0.06</v>
      </c>
      <c r="H12" s="39">
        <f>利润表!G16</f>
        <v>0.115211152</v>
      </c>
      <c r="I12" s="39">
        <f>利润表!H16</f>
        <v>0.24855500726</v>
      </c>
      <c r="J12" s="39">
        <f>利润表!I16</f>
        <v>0.3894424228016</v>
      </c>
      <c r="K12" s="39">
        <f>利润表!J16</f>
        <v>0.425410348802152</v>
      </c>
      <c r="L12" s="39">
        <f>利润表!K16</f>
        <v>0.342660272325615</v>
      </c>
      <c r="M12" s="39">
        <f>利润表!L16</f>
        <v>0.218359376192908</v>
      </c>
      <c r="N12" s="39">
        <f>利润表!M16</f>
        <v>0.129132395661124</v>
      </c>
    </row>
    <row r="13" spans="2:14">
      <c r="B13" s="52" t="str">
        <f>利润表!A18</f>
        <v>　　　　其中：利息费用</v>
      </c>
      <c r="G13" s="40"/>
      <c r="H13" s="40"/>
      <c r="I13" s="40"/>
      <c r="J13" s="40"/>
      <c r="K13" s="40"/>
      <c r="L13" s="40"/>
      <c r="M13" s="40"/>
      <c r="N13" s="40"/>
    </row>
    <row r="14" spans="2:14">
      <c r="B14" s="52" t="str">
        <f>利润表!A19</f>
        <v>　　　　　　　减：利息收入</v>
      </c>
      <c r="G14" s="40"/>
      <c r="H14" s="40"/>
      <c r="I14" s="40"/>
      <c r="J14" s="40"/>
      <c r="K14" s="40"/>
      <c r="L14" s="40"/>
      <c r="M14" s="40"/>
      <c r="N14" s="40"/>
    </row>
    <row r="15" spans="2:14">
      <c r="B15" s="52" t="str">
        <f>利润表!A20</f>
        <v>　　加：其他收益</v>
      </c>
      <c r="C15" s="34">
        <f>利润表!B20</f>
        <v>0</v>
      </c>
      <c r="D15" s="34">
        <f>利润表!C20</f>
        <v>0</v>
      </c>
      <c r="E15" s="34">
        <f>利润表!D20</f>
        <v>0</v>
      </c>
      <c r="F15" s="34">
        <f>利润表!E20</f>
        <v>0</v>
      </c>
      <c r="G15" s="40">
        <f>利润表!F20</f>
        <v>0.09</v>
      </c>
      <c r="H15" s="40">
        <f>利润表!G20</f>
        <v>0.02</v>
      </c>
      <c r="I15" s="40">
        <f>利润表!H20</f>
        <v>0.02</v>
      </c>
      <c r="J15" s="40">
        <f>利润表!I20</f>
        <v>0.02</v>
      </c>
      <c r="K15" s="40">
        <f>利润表!J20</f>
        <v>0.02</v>
      </c>
      <c r="L15" s="40">
        <f>利润表!K20</f>
        <v>0.02</v>
      </c>
      <c r="M15" s="40">
        <f>利润表!L20</f>
        <v>0.02</v>
      </c>
      <c r="N15" s="40">
        <f>利润表!M20</f>
        <v>0.02</v>
      </c>
    </row>
    <row r="16" spans="2:14">
      <c r="B16" s="52" t="str">
        <f>利润表!A21</f>
        <v>　　投资净收益</v>
      </c>
      <c r="C16" s="34">
        <f>利润表!B21</f>
        <v>0</v>
      </c>
      <c r="D16" s="34">
        <f>利润表!C21</f>
        <v>0</v>
      </c>
      <c r="E16" s="34">
        <f>利润表!D21</f>
        <v>0</v>
      </c>
      <c r="F16" s="34">
        <f>利润表!E21</f>
        <v>0.01</v>
      </c>
      <c r="G16" s="40">
        <f>利润表!F21</f>
        <v>0.2</v>
      </c>
      <c r="H16" s="40">
        <f>利润表!G21</f>
        <v>0.05</v>
      </c>
      <c r="I16" s="40">
        <f>利润表!H21</f>
        <v>0.03</v>
      </c>
      <c r="J16" s="40">
        <f>利润表!I21</f>
        <v>0.03</v>
      </c>
      <c r="K16" s="40">
        <f>利润表!J21</f>
        <v>0.03</v>
      </c>
      <c r="L16" s="40">
        <f>利润表!K21</f>
        <v>0.05</v>
      </c>
      <c r="M16" s="40">
        <f>利润表!L21</f>
        <v>0.06</v>
      </c>
      <c r="N16" s="40">
        <f>利润表!M21</f>
        <v>0.06</v>
      </c>
    </row>
    <row r="17" spans="2:14">
      <c r="B17" s="52" t="str">
        <f>利润表!A22</f>
        <v>　　资产减值损失</v>
      </c>
      <c r="C17" s="34">
        <f>利润表!B22</f>
        <v>0.02</v>
      </c>
      <c r="D17" s="34">
        <f>利润表!C22</f>
        <v>0</v>
      </c>
      <c r="E17" s="34">
        <f>利润表!D22</f>
        <v>0.07</v>
      </c>
      <c r="F17" s="34">
        <f>利润表!E22</f>
        <v>0.1</v>
      </c>
      <c r="G17" s="40">
        <f>利润表!F22</f>
        <v>0.12</v>
      </c>
      <c r="H17" s="40">
        <f>利润表!G22</f>
        <v>-0.12</v>
      </c>
      <c r="I17" s="40">
        <f>利润表!H22</f>
        <v>0</v>
      </c>
      <c r="J17" s="40">
        <f>利润表!I22</f>
        <v>0</v>
      </c>
      <c r="K17" s="40">
        <f>利润表!J22</f>
        <v>0</v>
      </c>
      <c r="L17" s="40">
        <f>利润表!K22</f>
        <v>0</v>
      </c>
      <c r="M17" s="40">
        <f>利润表!L22</f>
        <v>0</v>
      </c>
      <c r="N17" s="40">
        <f>利润表!M22</f>
        <v>0</v>
      </c>
    </row>
    <row r="18" spans="2:14">
      <c r="B18" s="52" t="str">
        <f>利润表!A23</f>
        <v>　　信用减值损失</v>
      </c>
      <c r="C18" s="34">
        <f>利润表!B23</f>
        <v>0</v>
      </c>
      <c r="D18" s="34">
        <f>利润表!C23</f>
        <v>0</v>
      </c>
      <c r="E18" s="34">
        <f>利润表!D23</f>
        <v>0</v>
      </c>
      <c r="F18" s="34">
        <f>利润表!E23</f>
        <v>0</v>
      </c>
      <c r="G18" s="40">
        <f>利润表!F23</f>
        <v>0</v>
      </c>
      <c r="H18" s="40" t="str">
        <f>利润表!G23</f>
        <v>-0.03</v>
      </c>
      <c r="I18" s="40" t="str">
        <f>利润表!H23</f>
        <v>0</v>
      </c>
      <c r="J18" s="40" t="str">
        <f>利润表!I23</f>
        <v>0</v>
      </c>
      <c r="K18" s="40" t="str">
        <f>利润表!J23</f>
        <v>0</v>
      </c>
      <c r="L18" s="40" t="str">
        <f>利润表!K23</f>
        <v>0</v>
      </c>
      <c r="M18" s="40" t="str">
        <f>利润表!L23</f>
        <v>0</v>
      </c>
      <c r="N18" s="40" t="str">
        <f>利润表!M23</f>
        <v>0</v>
      </c>
    </row>
    <row r="19" spans="2:14">
      <c r="B19" s="52" t="str">
        <f>利润表!A24</f>
        <v>营业利润</v>
      </c>
      <c r="C19" s="34">
        <f>利润表!B24</f>
        <v>0.53</v>
      </c>
      <c r="D19" s="34">
        <f>利润表!C24</f>
        <v>0.8</v>
      </c>
      <c r="E19" s="34">
        <f>利润表!D24</f>
        <v>0.75</v>
      </c>
      <c r="F19" s="34">
        <f>利润表!E24</f>
        <v>1.62</v>
      </c>
      <c r="G19" s="40">
        <f>利润表!F24</f>
        <v>1.58</v>
      </c>
      <c r="H19" s="40">
        <f>利润表!G24</f>
        <v>0.424624247999998</v>
      </c>
      <c r="I19" s="40">
        <f>利润表!H24</f>
        <v>0.902942901740001</v>
      </c>
      <c r="J19" s="40">
        <f>利润表!I24</f>
        <v>1.7451153753184</v>
      </c>
      <c r="K19" s="40">
        <f>利润表!J24</f>
        <v>3.60824392633984</v>
      </c>
      <c r="L19" s="40">
        <f>利润表!K24</f>
        <v>5.93223618084123</v>
      </c>
      <c r="M19" s="40">
        <f>利润表!L24</f>
        <v>8.59490176063353</v>
      </c>
      <c r="N19" s="40">
        <f>利润表!M24</f>
        <v>11.030019003114</v>
      </c>
    </row>
    <row r="20" spans="2:14">
      <c r="B20" s="52" t="str">
        <f>利润表!A25</f>
        <v>　　加：营业外收入</v>
      </c>
      <c r="C20" s="34">
        <f>利润表!B25</f>
        <v>0</v>
      </c>
      <c r="D20" s="34">
        <f>利润表!C25</f>
        <v>0.04</v>
      </c>
      <c r="E20" s="34">
        <f>利润表!D25</f>
        <v>0.21</v>
      </c>
      <c r="F20" s="34">
        <f>利润表!E25</f>
        <v>0.33</v>
      </c>
      <c r="G20" s="40">
        <f>利润表!F25</f>
        <v>0.04</v>
      </c>
      <c r="H20" s="40">
        <f>利润表!G25</f>
        <v>0</v>
      </c>
      <c r="I20" s="40">
        <f>利润表!H25</f>
        <v>0</v>
      </c>
      <c r="J20" s="40">
        <f>利润表!I25</f>
        <v>0</v>
      </c>
      <c r="K20" s="40">
        <f>利润表!J25</f>
        <v>0</v>
      </c>
      <c r="L20" s="40">
        <f>利润表!K25</f>
        <v>0</v>
      </c>
      <c r="M20" s="40">
        <f>利润表!L25</f>
        <v>0</v>
      </c>
      <c r="N20" s="40">
        <f>利润表!M25</f>
        <v>0</v>
      </c>
    </row>
    <row r="21" spans="2:14">
      <c r="B21" s="52" t="str">
        <f>利润表!A26</f>
        <v>　　减：营业外支出</v>
      </c>
      <c r="C21" s="34">
        <f>利润表!B26</f>
        <v>0</v>
      </c>
      <c r="D21" s="34">
        <f>利润表!C26</f>
        <v>0.01</v>
      </c>
      <c r="E21" s="34">
        <f>利润表!D26</f>
        <v>0</v>
      </c>
      <c r="F21" s="34">
        <f>利润表!E26</f>
        <v>0.05</v>
      </c>
      <c r="G21" s="40">
        <f>利润表!F26</f>
        <v>0</v>
      </c>
      <c r="H21" s="40">
        <f>利润表!G26</f>
        <v>0</v>
      </c>
      <c r="I21" s="40">
        <f>利润表!H26</f>
        <v>0</v>
      </c>
      <c r="J21" s="40">
        <f>利润表!I26</f>
        <v>0</v>
      </c>
      <c r="K21" s="40">
        <f>利润表!J26</f>
        <v>0</v>
      </c>
      <c r="L21" s="40">
        <f>利润表!K26</f>
        <v>0</v>
      </c>
      <c r="M21" s="40">
        <f>利润表!L26</f>
        <v>0</v>
      </c>
      <c r="N21" s="40">
        <f>利润表!M26</f>
        <v>0</v>
      </c>
    </row>
    <row r="22" spans="2:14">
      <c r="B22" s="52" t="str">
        <f>利润表!A27</f>
        <v>利润总额</v>
      </c>
      <c r="C22" s="34">
        <f>利润表!B27</f>
        <v>0.53</v>
      </c>
      <c r="D22" s="34">
        <f>利润表!C27</f>
        <v>0.82</v>
      </c>
      <c r="E22" s="34">
        <f>利润表!D27</f>
        <v>0.95</v>
      </c>
      <c r="F22" s="34">
        <f>利润表!E27</f>
        <v>1.9</v>
      </c>
      <c r="G22" s="40">
        <f>利润表!F27</f>
        <v>1.62</v>
      </c>
      <c r="H22" s="40">
        <f>利润表!G27</f>
        <v>0.424624247999998</v>
      </c>
      <c r="I22" s="40">
        <f>利润表!H27</f>
        <v>0.902942901740001</v>
      </c>
      <c r="J22" s="40">
        <f>利润表!I27</f>
        <v>1.7451153753184</v>
      </c>
      <c r="K22" s="40">
        <f>利润表!J27</f>
        <v>3.60824392633984</v>
      </c>
      <c r="L22" s="40">
        <f>利润表!K27</f>
        <v>5.93223618084123</v>
      </c>
      <c r="M22" s="40">
        <f>利润表!L27</f>
        <v>8.59490176063353</v>
      </c>
      <c r="N22" s="40">
        <f>利润表!M27</f>
        <v>11.030019003114</v>
      </c>
    </row>
    <row r="23" spans="2:14">
      <c r="B23" s="52" t="str">
        <f>利润表!A28</f>
        <v>　　减：所得税</v>
      </c>
      <c r="C23" s="34">
        <f>利润表!B28</f>
        <v>0.16</v>
      </c>
      <c r="D23" s="34">
        <f>利润表!C28</f>
        <v>0.29</v>
      </c>
      <c r="E23" s="34">
        <f>利润表!D28</f>
        <v>0.23</v>
      </c>
      <c r="F23" s="34">
        <f>利润表!E28</f>
        <v>0.32</v>
      </c>
      <c r="G23" s="40">
        <f>利润表!F28</f>
        <v>0.34</v>
      </c>
      <c r="H23" s="40">
        <f>利润表!G28</f>
        <v>0.25</v>
      </c>
      <c r="I23" s="40">
        <f>利润表!H28</f>
        <v>0.225735725435</v>
      </c>
      <c r="J23" s="40">
        <f>利润表!I28</f>
        <v>0.4362788438296</v>
      </c>
      <c r="K23" s="40">
        <f>利润表!J28</f>
        <v>0.90206098158496</v>
      </c>
      <c r="L23" s="40">
        <f>利润表!K28</f>
        <v>1.48305904521031</v>
      </c>
      <c r="M23" s="40">
        <f>利润表!L28</f>
        <v>2.14872544015838</v>
      </c>
      <c r="N23" s="40">
        <f>利润表!M28</f>
        <v>2.75750475077851</v>
      </c>
    </row>
    <row r="24" spans="2:14">
      <c r="B24" s="52" t="str">
        <f>利润表!A30</f>
        <v>净利润</v>
      </c>
      <c r="C24" s="52">
        <f>利润表!B30</f>
        <v>0.37</v>
      </c>
      <c r="D24" s="52">
        <f>利润表!C30</f>
        <v>0.53</v>
      </c>
      <c r="E24" s="52">
        <f>利润表!D30</f>
        <v>0.73</v>
      </c>
      <c r="F24" s="34">
        <f>利润表!E30</f>
        <v>1.58</v>
      </c>
      <c r="G24" s="34">
        <f>利润表!F30</f>
        <v>1.28</v>
      </c>
      <c r="H24" s="39">
        <f>利润表!G30</f>
        <v>0.174624247999998</v>
      </c>
      <c r="I24" s="39">
        <f>利润表!H30</f>
        <v>0.677207176305</v>
      </c>
      <c r="J24" s="39">
        <f>利润表!I30</f>
        <v>1.3088365314888</v>
      </c>
      <c r="K24" s="39">
        <f>利润表!J30</f>
        <v>2.70618294475488</v>
      </c>
      <c r="L24" s="39">
        <f>利润表!K30</f>
        <v>4.44917713563092</v>
      </c>
      <c r="M24" s="39">
        <f>利润表!L30</f>
        <v>6.44617632047515</v>
      </c>
      <c r="N24" s="39">
        <f>利润表!M30</f>
        <v>8.27251425233552</v>
      </c>
    </row>
    <row r="25" spans="2:14">
      <c r="B25" s="52" t="str">
        <f>利润表!A31</f>
        <v>　　减：少数股东损益</v>
      </c>
      <c r="C25" s="52">
        <f>利润表!B31</f>
        <v>0.01</v>
      </c>
      <c r="D25" s="52">
        <f>利润表!C31</f>
        <v>0</v>
      </c>
      <c r="E25" s="52">
        <f>利润表!D31</f>
        <v>-0.01</v>
      </c>
      <c r="F25" s="34">
        <f>利润表!E31</f>
        <v>0</v>
      </c>
      <c r="G25" s="34">
        <f>利润表!F31</f>
        <v>-0.03</v>
      </c>
      <c r="H25" s="39">
        <f>利润表!G31</f>
        <v>-0.01</v>
      </c>
      <c r="I25" s="39">
        <f>利润表!H31</f>
        <v>0</v>
      </c>
      <c r="J25" s="39">
        <f>利润表!I31</f>
        <v>0</v>
      </c>
      <c r="K25" s="39">
        <f>利润表!J31</f>
        <v>0</v>
      </c>
      <c r="L25" s="39">
        <f>利润表!K31</f>
        <v>0</v>
      </c>
      <c r="M25" s="39">
        <f>利润表!L31</f>
        <v>0</v>
      </c>
      <c r="N25" s="39">
        <f>利润表!M31</f>
        <v>0</v>
      </c>
    </row>
    <row r="26" spans="2:14">
      <c r="B26" s="3" t="str">
        <f>利润表!A32</f>
        <v>　　归属于母公司所有者的净利润</v>
      </c>
      <c r="C26" s="3">
        <f>利润表!B32</f>
        <v>0.37</v>
      </c>
      <c r="D26" s="3">
        <f>利润表!C32</f>
        <v>0.53</v>
      </c>
      <c r="E26" s="3">
        <f>利润表!D32</f>
        <v>0.74</v>
      </c>
      <c r="F26" s="6">
        <f>利润表!E32</f>
        <v>1.58</v>
      </c>
      <c r="G26" s="6">
        <f>利润表!F32</f>
        <v>1.31</v>
      </c>
      <c r="H26" s="62">
        <f>利润表!G32</f>
        <v>0.184624247999998</v>
      </c>
      <c r="I26" s="62">
        <f>利润表!H32</f>
        <v>0.677207176305</v>
      </c>
      <c r="J26" s="62">
        <f>利润表!I32</f>
        <v>1.3088365314888</v>
      </c>
      <c r="K26" s="62">
        <f>利润表!J32</f>
        <v>2.70618294475488</v>
      </c>
      <c r="L26" s="62">
        <f>利润表!K32</f>
        <v>4.44917713563092</v>
      </c>
      <c r="M26" s="62">
        <f>利润表!L32</f>
        <v>6.44617632047515</v>
      </c>
      <c r="N26" s="62">
        <f>利润表!M32</f>
        <v>8.27251425233552</v>
      </c>
    </row>
    <row r="27" spans="2:14">
      <c r="B27" s="52" t="str">
        <f>利润表!A33</f>
        <v>　　加：其他综合收益</v>
      </c>
      <c r="C27" s="52">
        <f>利润表!B33</f>
        <v>0</v>
      </c>
      <c r="D27" s="52">
        <f>利润表!C33</f>
        <v>0.01</v>
      </c>
      <c r="E27" s="52">
        <f>利润表!D33</f>
        <v>0.02</v>
      </c>
      <c r="F27" s="34">
        <f>利润表!E33</f>
        <v>-0.03</v>
      </c>
      <c r="G27" s="34">
        <f>利润表!F33</f>
        <v>0.07</v>
      </c>
      <c r="H27" s="39">
        <f>利润表!G33</f>
        <v>0.06</v>
      </c>
      <c r="I27" s="39">
        <f>利润表!H33</f>
        <v>0.06</v>
      </c>
      <c r="J27" s="39">
        <f>利润表!I33</f>
        <v>0.06</v>
      </c>
      <c r="K27" s="39">
        <f>利润表!J33</f>
        <v>0.08</v>
      </c>
      <c r="L27" s="39">
        <f>利润表!K33</f>
        <v>0.08</v>
      </c>
      <c r="M27" s="39">
        <f>利润表!L33</f>
        <v>0.08</v>
      </c>
      <c r="N27" s="39">
        <f>利润表!M33</f>
        <v>0.08</v>
      </c>
    </row>
    <row r="28" spans="2:14">
      <c r="B28" s="52" t="str">
        <f>利润表!A34</f>
        <v>综合收益总额</v>
      </c>
      <c r="C28" s="52">
        <f>利润表!B34</f>
        <v>0.37</v>
      </c>
      <c r="D28" s="52">
        <f>利润表!C34</f>
        <v>0.54</v>
      </c>
      <c r="E28" s="52">
        <f>利润表!D34</f>
        <v>0.75</v>
      </c>
      <c r="F28" s="34">
        <f>利润表!E34</f>
        <v>1.55</v>
      </c>
      <c r="G28" s="34">
        <f>利润表!F34</f>
        <v>1.34</v>
      </c>
      <c r="H28" s="39">
        <f>利润表!G34</f>
        <v>0.234624247999998</v>
      </c>
      <c r="I28" s="39">
        <f>利润表!H34</f>
        <v>0.737207176305001</v>
      </c>
      <c r="J28" s="39">
        <f>利润表!I34</f>
        <v>1.3688365314888</v>
      </c>
      <c r="K28" s="39">
        <f>利润表!J34</f>
        <v>2.78618294475488</v>
      </c>
      <c r="L28" s="39">
        <f>利润表!K34</f>
        <v>4.52917713563092</v>
      </c>
      <c r="M28" s="39">
        <f>利润表!L34</f>
        <v>6.52617632047515</v>
      </c>
      <c r="N28" s="39">
        <f>利润表!M34</f>
        <v>8.35251425233552</v>
      </c>
    </row>
    <row r="29" spans="2:14">
      <c r="B29" s="52" t="str">
        <f>利润表!A35</f>
        <v>　　减：归属于少数股东的综合收益总额</v>
      </c>
      <c r="C29" s="52">
        <f>利润表!B35</f>
        <v>0.01</v>
      </c>
      <c r="D29" s="52">
        <f>利润表!C35</f>
        <v>0</v>
      </c>
      <c r="E29" s="52">
        <f>利润表!D35</f>
        <v>-0.01</v>
      </c>
      <c r="F29" s="34">
        <f>利润表!E35</f>
        <v>0</v>
      </c>
      <c r="G29" s="34">
        <f>利润表!F35</f>
        <v>-0.03</v>
      </c>
      <c r="H29" s="39">
        <f>利润表!G35</f>
        <v>-0.01</v>
      </c>
      <c r="I29" s="39">
        <f>利润表!H35</f>
        <v>0</v>
      </c>
      <c r="J29" s="39">
        <f>利润表!I35</f>
        <v>0</v>
      </c>
      <c r="K29" s="39">
        <f>利润表!J35</f>
        <v>0</v>
      </c>
      <c r="L29" s="39">
        <f>利润表!K35</f>
        <v>0</v>
      </c>
      <c r="M29" s="39">
        <f>利润表!L35</f>
        <v>0</v>
      </c>
      <c r="N29" s="39">
        <f>利润表!M35</f>
        <v>0</v>
      </c>
    </row>
    <row r="30" spans="2:14">
      <c r="B30" s="52" t="str">
        <f>利润表!A36</f>
        <v>　　归属于母公司普通股东综合收益总额</v>
      </c>
      <c r="C30" s="52">
        <f>利润表!B36</f>
        <v>0.37</v>
      </c>
      <c r="D30" s="52">
        <f>利润表!C36</f>
        <v>0.54</v>
      </c>
      <c r="E30" s="52">
        <f>利润表!D36</f>
        <v>0.76</v>
      </c>
      <c r="F30" s="34">
        <f>利润表!E36</f>
        <v>1.56</v>
      </c>
      <c r="G30" s="34">
        <f>利润表!F36</f>
        <v>1.37</v>
      </c>
      <c r="H30" s="39">
        <f>利润表!G36</f>
        <v>0.244624247999998</v>
      </c>
      <c r="I30" s="39">
        <f>利润表!H36</f>
        <v>0.737207176305001</v>
      </c>
      <c r="J30" s="39">
        <f>利润表!I36</f>
        <v>1.3688365314888</v>
      </c>
      <c r="K30" s="39">
        <f>利润表!J36</f>
        <v>2.78618294475488</v>
      </c>
      <c r="L30" s="39">
        <f>利润表!K36</f>
        <v>4.52917713563092</v>
      </c>
      <c r="M30" s="39">
        <f>利润表!L36</f>
        <v>6.52617632047515</v>
      </c>
      <c r="N30" s="39">
        <f>利润表!M36</f>
        <v>8.35251425233552</v>
      </c>
    </row>
    <row r="31" spans="2:14">
      <c r="B31" s="52" t="str">
        <f>利润表!A37</f>
        <v>每股收益：</v>
      </c>
      <c r="H31" s="39"/>
      <c r="I31" s="39"/>
      <c r="J31" s="39"/>
      <c r="K31" s="39"/>
      <c r="L31" s="39"/>
      <c r="M31" s="39"/>
      <c r="N31" s="39"/>
    </row>
    <row r="32" spans="2:14">
      <c r="B32" s="52" t="str">
        <f>利润表!A38</f>
        <v>　　基本每股收益</v>
      </c>
      <c r="C32" s="52">
        <f>利润表!B38</f>
        <v>0</v>
      </c>
      <c r="D32" s="52">
        <f>利润表!C38</f>
        <v>0</v>
      </c>
      <c r="E32" s="52">
        <f>利润表!D38</f>
        <v>0.62</v>
      </c>
      <c r="F32" s="34">
        <f>利润表!E38</f>
        <v>1.32</v>
      </c>
      <c r="G32" s="34">
        <f>利润表!F38</f>
        <v>0.5</v>
      </c>
      <c r="H32" s="39">
        <f>利润表!G38</f>
        <v>0.0595192817518244</v>
      </c>
      <c r="I32" s="39">
        <f>利润表!H38</f>
        <v>0.179369142653285</v>
      </c>
      <c r="J32" s="39">
        <f>利润表!I38</f>
        <v>0.333050250970511</v>
      </c>
      <c r="K32" s="39">
        <f>利润表!J38</f>
        <v>0.677903392884399</v>
      </c>
      <c r="L32" s="39">
        <f>利润表!K38</f>
        <v>1.10198957071312</v>
      </c>
      <c r="M32" s="39">
        <f>利润表!L38</f>
        <v>1.58787745023726</v>
      </c>
      <c r="N32" s="39">
        <f>利润表!M38</f>
        <v>2.03224191054392</v>
      </c>
    </row>
    <row r="35" spans="2:8">
      <c r="B35" s="52" t="s">
        <v>190</v>
      </c>
      <c r="H35" s="34">
        <v>0.22</v>
      </c>
    </row>
    <row r="36" spans="8:8">
      <c r="H36" s="61">
        <f>H35/G26</f>
        <v>0.16793893129771</v>
      </c>
    </row>
    <row r="37" spans="2:14">
      <c r="B37" s="52" t="s">
        <v>191</v>
      </c>
      <c r="H37" s="39">
        <f>H30*0.3</f>
        <v>0.0733872743999995</v>
      </c>
      <c r="I37" s="39">
        <f t="shared" ref="I37:N37" si="0">I30*0.3</f>
        <v>0.2211621528915</v>
      </c>
      <c r="J37" s="39">
        <f t="shared" si="0"/>
        <v>0.41065095944664</v>
      </c>
      <c r="K37" s="39">
        <f t="shared" si="0"/>
        <v>0.835854883426464</v>
      </c>
      <c r="L37" s="39">
        <f t="shared" si="0"/>
        <v>1.35875314068928</v>
      </c>
      <c r="M37" s="39">
        <f t="shared" si="0"/>
        <v>1.95785289614255</v>
      </c>
      <c r="N37" s="39">
        <f t="shared" si="0"/>
        <v>2.50575427570066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DCF估值结果 </vt:lpstr>
      <vt:lpstr>业务模型</vt:lpstr>
      <vt:lpstr>行业</vt:lpstr>
      <vt:lpstr>护肤品分类</vt:lpstr>
      <vt:lpstr>利润表</vt:lpstr>
      <vt:lpstr>资本开支</vt:lpstr>
      <vt:lpstr>资产负债表假设</vt:lpstr>
      <vt:lpstr>IS</vt:lpstr>
      <vt:lpstr>BS</vt:lpstr>
      <vt:lpstr>CS</vt:lpstr>
      <vt:lpstr>DCF估值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LONG</cp:lastModifiedBy>
  <dcterms:created xsi:type="dcterms:W3CDTF">2019-12-23T09:44:00Z</dcterms:created>
  <dcterms:modified xsi:type="dcterms:W3CDTF">2019-12-30T07:35:01Z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2052-11.1.0.9339</vt:lpwstr>
  </property>
  <property fmtid="{D5CDD505-2E9C-101B-9397-08002B2CF9AE}" pid="3" name="EM_Doc_Temp_ID">
    <vt:lpwstr>fd0ff7a3</vt:lpwstr>
  </property>
</Properties>
</file>