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updateLinks="always"/>
  <mc:AlternateContent xmlns:mc="http://schemas.openxmlformats.org/markup-compatibility/2006">
    <mc:Choice Requires="x15">
      <x15ac:absPath xmlns:x15ac="http://schemas.microsoft.com/office/spreadsheetml/2010/11/ac" url="C:\Users\63175\Desktop\"/>
    </mc:Choice>
  </mc:AlternateContent>
  <xr:revisionPtr revIDLastSave="0" documentId="13_ncr:1_{077112DB-6632-4B70-8119-1619BA278C19}" xr6:coauthVersionLast="45" xr6:coauthVersionMax="45" xr10:uidLastSave="{00000000-0000-0000-0000-000000000000}"/>
  <bookViews>
    <workbookView xWindow="-120" yWindow="-120" windowWidth="20730" windowHeight="11160" tabRatio="900" activeTab="12" xr2:uid="{00000000-000D-0000-FFFF-FFFF00000000}"/>
  </bookViews>
  <sheets>
    <sheet name="封面" sheetId="33" r:id="rId1"/>
    <sheet name="使用说明" sheetId="25" r:id="rId2"/>
    <sheet name="业务模型" sheetId="40" r:id="rId3"/>
    <sheet name="利润表(年度)" sheetId="41" r:id="rId4"/>
    <sheet name="资产负债表" sheetId="44" r:id="rId5"/>
    <sheet name="现金流量表（单季度）" sheetId="43" r:id="rId6"/>
    <sheet name="利润表(单季度)" sheetId="42" r:id="rId7"/>
    <sheet name="资产负债假设" sheetId="14" r:id="rId8"/>
    <sheet name="资本开支假设" sheetId="30" r:id="rId9"/>
    <sheet name="IS" sheetId="1" r:id="rId10"/>
    <sheet name="BS" sheetId="3" r:id="rId11"/>
    <sheet name="CS" sheetId="32" r:id="rId12"/>
    <sheet name="DCF估值" sheetId="16" r:id="rId13"/>
    <sheet name="DCF估值结果" sheetId="23" r:id="rId14"/>
    <sheet name="PE估值结果" sheetId="20" r:id="rId15"/>
  </sheets>
  <externalReferences>
    <externalReference r:id="rId16"/>
  </externalReferences>
  <definedNames>
    <definedName name="cww" localSheetId="0">#REF!</definedName>
    <definedName name="cww">#REF!</definedName>
    <definedName name="g">[1]DCF!$F$38</definedName>
    <definedName name="WACC">[1]DCF!$F$19</definedName>
    <definedName name="使用说明" localSheetId="11">#REF!</definedName>
    <definedName name="使用说明" localSheetId="0">#REF!</definedName>
    <definedName name="使用说明">#REF!</definedName>
    <definedName name="一使用说明" localSheetId="11">#REF!</definedName>
    <definedName name="一使用说明" localSheetId="0">#REF!</definedName>
    <definedName name="一使用说明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6" l="1"/>
  <c r="K10" i="30"/>
  <c r="J10" i="30"/>
  <c r="K8" i="30"/>
  <c r="J8" i="30"/>
  <c r="K44" i="40"/>
  <c r="J44" i="40"/>
  <c r="I44" i="40"/>
  <c r="G44" i="40"/>
  <c r="G43" i="40" s="1"/>
  <c r="I13" i="40"/>
  <c r="J13" i="40"/>
  <c r="K13" i="40"/>
  <c r="H13" i="40"/>
  <c r="G13" i="40"/>
  <c r="I20" i="40"/>
  <c r="J20" i="40" s="1"/>
  <c r="K20" i="40" s="1"/>
  <c r="H20" i="40"/>
  <c r="G20" i="40"/>
  <c r="C3" i="40"/>
  <c r="D3" i="40"/>
  <c r="E3" i="40"/>
  <c r="F3" i="40"/>
  <c r="C5" i="40"/>
  <c r="D5" i="40"/>
  <c r="E5" i="40"/>
  <c r="F5" i="40"/>
  <c r="C9" i="40"/>
  <c r="D9" i="40"/>
  <c r="E9" i="40"/>
  <c r="F9" i="40"/>
  <c r="G9" i="40" s="1"/>
  <c r="B10" i="40"/>
  <c r="C10" i="40"/>
  <c r="D10" i="40"/>
  <c r="E10" i="40"/>
  <c r="F10" i="40"/>
  <c r="B11" i="40"/>
  <c r="C11" i="40"/>
  <c r="D11" i="40"/>
  <c r="E11" i="40"/>
  <c r="F11" i="40"/>
  <c r="B13" i="40"/>
  <c r="C13" i="40"/>
  <c r="D13" i="40"/>
  <c r="E13" i="40"/>
  <c r="F13" i="40"/>
  <c r="C16" i="40"/>
  <c r="D16" i="40"/>
  <c r="E16" i="40"/>
  <c r="F16" i="40"/>
  <c r="G16" i="40"/>
  <c r="G15" i="40" s="1"/>
  <c r="H16" i="40"/>
  <c r="I16" i="40" s="1"/>
  <c r="J16" i="40" s="1"/>
  <c r="K16" i="40" s="1"/>
  <c r="B17" i="40"/>
  <c r="C17" i="40"/>
  <c r="D17" i="40"/>
  <c r="E17" i="40"/>
  <c r="F17" i="40"/>
  <c r="B18" i="40"/>
  <c r="C18" i="40"/>
  <c r="D18" i="40"/>
  <c r="E18" i="40"/>
  <c r="F18" i="40"/>
  <c r="B20" i="40"/>
  <c r="C20" i="40"/>
  <c r="D20" i="40"/>
  <c r="E20" i="40"/>
  <c r="F20" i="40"/>
  <c r="C23" i="40"/>
  <c r="D23" i="40"/>
  <c r="E23" i="40"/>
  <c r="F23" i="40"/>
  <c r="G23" i="40"/>
  <c r="H23" i="40" s="1"/>
  <c r="I23" i="40" s="1"/>
  <c r="J23" i="40" s="1"/>
  <c r="K23" i="40" s="1"/>
  <c r="B24" i="40"/>
  <c r="C24" i="40"/>
  <c r="D24" i="40"/>
  <c r="E24" i="40"/>
  <c r="F24" i="40"/>
  <c r="B25" i="40"/>
  <c r="C25" i="40"/>
  <c r="D25" i="40"/>
  <c r="E25" i="40"/>
  <c r="F25" i="40"/>
  <c r="B27" i="40"/>
  <c r="C27" i="40"/>
  <c r="D27" i="40"/>
  <c r="E27" i="40"/>
  <c r="F27" i="40"/>
  <c r="C30" i="40"/>
  <c r="D30" i="40"/>
  <c r="E30" i="40"/>
  <c r="F30" i="40"/>
  <c r="G30" i="40"/>
  <c r="H30" i="40" s="1"/>
  <c r="I30" i="40" s="1"/>
  <c r="J30" i="40" s="1"/>
  <c r="K30" i="40" s="1"/>
  <c r="B31" i="40"/>
  <c r="C31" i="40"/>
  <c r="D31" i="40"/>
  <c r="E31" i="40"/>
  <c r="F31" i="40"/>
  <c r="B32" i="40"/>
  <c r="C32" i="40"/>
  <c r="D32" i="40"/>
  <c r="E32" i="40"/>
  <c r="F32" i="40"/>
  <c r="B34" i="40"/>
  <c r="C34" i="40"/>
  <c r="D34" i="40"/>
  <c r="E34" i="40"/>
  <c r="F34" i="40"/>
  <c r="G34" i="40"/>
  <c r="H34" i="40"/>
  <c r="I34" i="40" s="1"/>
  <c r="J34" i="40" s="1"/>
  <c r="K34" i="40" s="1"/>
  <c r="C37" i="40"/>
  <c r="D37" i="40"/>
  <c r="E37" i="40"/>
  <c r="F37" i="40"/>
  <c r="G37" i="40" s="1"/>
  <c r="B38" i="40"/>
  <c r="C38" i="40"/>
  <c r="D38" i="40"/>
  <c r="E38" i="40"/>
  <c r="F38" i="40"/>
  <c r="B39" i="40"/>
  <c r="C39" i="40"/>
  <c r="D39" i="40"/>
  <c r="E39" i="40"/>
  <c r="F39" i="40"/>
  <c r="B41" i="40"/>
  <c r="C41" i="40"/>
  <c r="D41" i="40"/>
  <c r="E41" i="40"/>
  <c r="F41" i="40"/>
  <c r="E44" i="40"/>
  <c r="F44" i="40"/>
  <c r="D45" i="40"/>
  <c r="E45" i="40"/>
  <c r="F45" i="40"/>
  <c r="D46" i="40"/>
  <c r="E46" i="40"/>
  <c r="F46" i="40"/>
  <c r="D48" i="40"/>
  <c r="E48" i="40"/>
  <c r="F48" i="40"/>
  <c r="G48" i="40" s="1"/>
  <c r="H48" i="40" s="1"/>
  <c r="I48" i="40" s="1"/>
  <c r="J48" i="40" s="1"/>
  <c r="K48" i="40" s="1"/>
  <c r="G50" i="40"/>
  <c r="H50" i="40"/>
  <c r="I50" i="40"/>
  <c r="J50" i="40" s="1"/>
  <c r="C51" i="40"/>
  <c r="D51" i="40"/>
  <c r="E51" i="40"/>
  <c r="F51" i="40"/>
  <c r="B52" i="40"/>
  <c r="C52" i="40"/>
  <c r="D52" i="40"/>
  <c r="E52" i="40"/>
  <c r="F52" i="40"/>
  <c r="G55" i="40"/>
  <c r="G54" i="40" s="1"/>
  <c r="G53" i="40" s="1"/>
  <c r="H55" i="40"/>
  <c r="I55" i="40" s="1"/>
  <c r="G57" i="40"/>
  <c r="H57" i="40" s="1"/>
  <c r="E58" i="40"/>
  <c r="F58" i="40"/>
  <c r="D59" i="40"/>
  <c r="E59" i="40"/>
  <c r="F59" i="40"/>
  <c r="D60" i="40"/>
  <c r="E60" i="40"/>
  <c r="F60" i="40"/>
  <c r="D62" i="40"/>
  <c r="E62" i="40"/>
  <c r="F62" i="40"/>
  <c r="G62" i="40"/>
  <c r="H62" i="40"/>
  <c r="I62" i="40" s="1"/>
  <c r="J62" i="40" s="1"/>
  <c r="K62" i="40" s="1"/>
  <c r="K50" i="40" l="1"/>
  <c r="G8" i="40"/>
  <c r="H9" i="40"/>
  <c r="I9" i="40" s="1"/>
  <c r="J9" i="40" s="1"/>
  <c r="K9" i="40" s="1"/>
  <c r="H60" i="40"/>
  <c r="I57" i="40"/>
  <c r="H61" i="40"/>
  <c r="G19" i="40"/>
  <c r="G18" i="40" s="1"/>
  <c r="H15" i="40"/>
  <c r="I54" i="40"/>
  <c r="I53" i="40" s="1"/>
  <c r="J55" i="40"/>
  <c r="K55" i="40" s="1"/>
  <c r="G36" i="40"/>
  <c r="H37" i="40"/>
  <c r="G47" i="40"/>
  <c r="G46" i="40" s="1"/>
  <c r="G61" i="40"/>
  <c r="G60" i="40" s="1"/>
  <c r="G29" i="40"/>
  <c r="G22" i="40"/>
  <c r="H54" i="40"/>
  <c r="H53" i="40" s="1"/>
  <c r="H44" i="40"/>
  <c r="G26" i="40" l="1"/>
  <c r="H22" i="40"/>
  <c r="G25" i="40"/>
  <c r="G33" i="40"/>
  <c r="G32" i="40"/>
  <c r="H29" i="40"/>
  <c r="H36" i="40"/>
  <c r="G40" i="40"/>
  <c r="G39" i="40" s="1"/>
  <c r="K54" i="40"/>
  <c r="K53" i="40" s="1"/>
  <c r="H43" i="40"/>
  <c r="H19" i="40"/>
  <c r="I15" i="40"/>
  <c r="H18" i="40"/>
  <c r="I61" i="40"/>
  <c r="J57" i="40"/>
  <c r="I60" i="40"/>
  <c r="G2" i="40"/>
  <c r="G24" i="40" s="1"/>
  <c r="H8" i="40"/>
  <c r="G12" i="40"/>
  <c r="G11" i="40" s="1"/>
  <c r="J54" i="40"/>
  <c r="J53" i="40" s="1"/>
  <c r="G31" i="40" l="1"/>
  <c r="G10" i="40"/>
  <c r="G38" i="40"/>
  <c r="H47" i="40"/>
  <c r="H46" i="40" s="1"/>
  <c r="I43" i="40"/>
  <c r="I29" i="40"/>
  <c r="H33" i="40"/>
  <c r="H32" i="40" s="1"/>
  <c r="G4" i="40"/>
  <c r="G5" i="40" s="1"/>
  <c r="J15" i="40"/>
  <c r="I19" i="40"/>
  <c r="I18" i="40" s="1"/>
  <c r="J60" i="40"/>
  <c r="K57" i="40"/>
  <c r="J61" i="40"/>
  <c r="I22" i="40"/>
  <c r="H26" i="40"/>
  <c r="H25" i="40" s="1"/>
  <c r="H2" i="40"/>
  <c r="H31" i="40" s="1"/>
  <c r="I8" i="40"/>
  <c r="H12" i="40"/>
  <c r="H11" i="40" s="1"/>
  <c r="G3" i="40"/>
  <c r="G52" i="40"/>
  <c r="G45" i="40"/>
  <c r="G59" i="40"/>
  <c r="G17" i="40"/>
  <c r="I36" i="40"/>
  <c r="H40" i="40"/>
  <c r="H39" i="40" s="1"/>
  <c r="H38" i="40" l="1"/>
  <c r="H4" i="40"/>
  <c r="H5" i="40" s="1"/>
  <c r="K61" i="40"/>
  <c r="K60" i="40" s="1"/>
  <c r="I47" i="40"/>
  <c r="I46" i="40" s="1"/>
  <c r="J43" i="40"/>
  <c r="H3" i="40"/>
  <c r="H52" i="40"/>
  <c r="H59" i="40"/>
  <c r="H17" i="40"/>
  <c r="I40" i="40"/>
  <c r="I39" i="40"/>
  <c r="J36" i="40"/>
  <c r="H10" i="40"/>
  <c r="J22" i="40"/>
  <c r="I25" i="40"/>
  <c r="I26" i="40"/>
  <c r="K15" i="40"/>
  <c r="J19" i="40"/>
  <c r="J18" i="40" s="1"/>
  <c r="I12" i="40"/>
  <c r="I11" i="40" s="1"/>
  <c r="J8" i="40"/>
  <c r="I2" i="40"/>
  <c r="I45" i="40" s="1"/>
  <c r="H24" i="40"/>
  <c r="J29" i="40"/>
  <c r="I33" i="40"/>
  <c r="I32" i="40" s="1"/>
  <c r="H45" i="40"/>
  <c r="I24" i="40" l="1"/>
  <c r="I10" i="40"/>
  <c r="I31" i="40"/>
  <c r="I4" i="40"/>
  <c r="I5" i="40" s="1"/>
  <c r="I38" i="40"/>
  <c r="K43" i="40"/>
  <c r="J47" i="40"/>
  <c r="J46" i="40" s="1"/>
  <c r="K8" i="40"/>
  <c r="J12" i="40"/>
  <c r="J11" i="40" s="1"/>
  <c r="J2" i="40"/>
  <c r="J38" i="40" s="1"/>
  <c r="K19" i="40"/>
  <c r="K18" i="40" s="1"/>
  <c r="K22" i="40"/>
  <c r="J25" i="40"/>
  <c r="J26" i="40"/>
  <c r="J40" i="40"/>
  <c r="J39" i="40" s="1"/>
  <c r="K36" i="40"/>
  <c r="I3" i="40"/>
  <c r="I52" i="40"/>
  <c r="I59" i="40"/>
  <c r="I17" i="40"/>
  <c r="J33" i="40"/>
  <c r="K29" i="40"/>
  <c r="J32" i="40"/>
  <c r="J4" i="40" l="1"/>
  <c r="J5" i="40" s="1"/>
  <c r="J3" i="40"/>
  <c r="J52" i="40"/>
  <c r="J59" i="40"/>
  <c r="J17" i="40"/>
  <c r="K40" i="40"/>
  <c r="K39" i="40" s="1"/>
  <c r="J45" i="40"/>
  <c r="K33" i="40"/>
  <c r="K32" i="40"/>
  <c r="K26" i="40"/>
  <c r="K25" i="40"/>
  <c r="J31" i="40"/>
  <c r="J24" i="40"/>
  <c r="J10" i="40"/>
  <c r="K2" i="40"/>
  <c r="K24" i="40" s="1"/>
  <c r="K12" i="40"/>
  <c r="K11" i="40" s="1"/>
  <c r="K47" i="40"/>
  <c r="K46" i="40" s="1"/>
  <c r="K45" i="40" l="1"/>
  <c r="K38" i="40"/>
  <c r="K31" i="40"/>
  <c r="K4" i="40"/>
  <c r="K5" i="40" s="1"/>
  <c r="K3" i="40"/>
  <c r="K52" i="40"/>
  <c r="K59" i="40"/>
  <c r="K17" i="40"/>
  <c r="K10" i="40"/>
  <c r="D27" i="16"/>
  <c r="J86" i="41" l="1"/>
  <c r="K86" i="41"/>
  <c r="I86" i="41"/>
  <c r="H86" i="41"/>
  <c r="K13" i="20" l="1"/>
  <c r="K11" i="20"/>
  <c r="K12" i="20"/>
  <c r="K10" i="20"/>
  <c r="K9" i="20"/>
  <c r="F8" i="20"/>
  <c r="K87" i="41"/>
  <c r="J87" i="41"/>
  <c r="E59" i="3" l="1"/>
  <c r="F59" i="3"/>
  <c r="G59" i="3"/>
  <c r="H59" i="3"/>
  <c r="P25" i="32" l="1"/>
  <c r="Q25" i="32"/>
  <c r="R25" i="32"/>
  <c r="K22" i="23"/>
  <c r="J22" i="23"/>
  <c r="I22" i="23"/>
  <c r="H22" i="23"/>
  <c r="G22" i="23"/>
  <c r="F22" i="23"/>
  <c r="D22" i="23"/>
  <c r="K21" i="23"/>
  <c r="J21" i="23"/>
  <c r="I21" i="23"/>
  <c r="H21" i="23"/>
  <c r="G21" i="23"/>
  <c r="F21" i="23"/>
  <c r="K20" i="23"/>
  <c r="J20" i="23"/>
  <c r="I20" i="23"/>
  <c r="H20" i="23"/>
  <c r="G20" i="23"/>
  <c r="F20" i="23"/>
  <c r="K19" i="23"/>
  <c r="J19" i="23"/>
  <c r="I19" i="23"/>
  <c r="H19" i="23"/>
  <c r="G19" i="23"/>
  <c r="F19" i="23"/>
  <c r="K18" i="23"/>
  <c r="J18" i="23"/>
  <c r="I18" i="23"/>
  <c r="H18" i="23"/>
  <c r="G18" i="23"/>
  <c r="F18" i="23"/>
  <c r="K17" i="23"/>
  <c r="J17" i="23"/>
  <c r="I17" i="23"/>
  <c r="H17" i="23"/>
  <c r="G17" i="23"/>
  <c r="D14" i="23"/>
  <c r="D13" i="23"/>
  <c r="D12" i="23"/>
  <c r="D11" i="23"/>
  <c r="D8" i="23"/>
  <c r="D28" i="16"/>
  <c r="D10" i="23" s="1"/>
  <c r="D9" i="23"/>
  <c r="G26" i="16"/>
  <c r="F44" i="16" s="1"/>
  <c r="D9" i="16"/>
  <c r="R81" i="32"/>
  <c r="Q81" i="32"/>
  <c r="P81" i="32"/>
  <c r="O81" i="32"/>
  <c r="J73" i="32"/>
  <c r="J59" i="32"/>
  <c r="J53" i="32"/>
  <c r="J78" i="32" s="1"/>
  <c r="I49" i="32"/>
  <c r="H49" i="32"/>
  <c r="G49" i="32"/>
  <c r="F49" i="32"/>
  <c r="E49" i="32"/>
  <c r="N41" i="32"/>
  <c r="K41" i="32"/>
  <c r="N40" i="32"/>
  <c r="M40" i="32"/>
  <c r="L40" i="32"/>
  <c r="K40" i="32"/>
  <c r="J40" i="32"/>
  <c r="I38" i="32"/>
  <c r="H38" i="32"/>
  <c r="G38" i="32"/>
  <c r="F38" i="32"/>
  <c r="E38" i="32"/>
  <c r="N29" i="32"/>
  <c r="M29" i="32"/>
  <c r="L29" i="32"/>
  <c r="K29" i="32"/>
  <c r="J29" i="32"/>
  <c r="I27" i="32"/>
  <c r="H27" i="32"/>
  <c r="G27" i="32"/>
  <c r="Q62" i="3"/>
  <c r="G62" i="3"/>
  <c r="D16" i="16" s="1"/>
  <c r="O59" i="3"/>
  <c r="O67" i="3" s="1"/>
  <c r="H57" i="3"/>
  <c r="H50" i="3"/>
  <c r="G50" i="3"/>
  <c r="F50" i="3"/>
  <c r="F57" i="3" s="1"/>
  <c r="E50" i="3"/>
  <c r="E57" i="3" s="1"/>
  <c r="D50" i="3"/>
  <c r="D57" i="3" s="1"/>
  <c r="K49" i="3"/>
  <c r="I49" i="3"/>
  <c r="Q46" i="3"/>
  <c r="Q47" i="3" s="1"/>
  <c r="Q63" i="3" s="1"/>
  <c r="P46" i="3"/>
  <c r="P47" i="3" s="1"/>
  <c r="P63" i="3" s="1"/>
  <c r="O46" i="3"/>
  <c r="H46" i="3"/>
  <c r="G46" i="3"/>
  <c r="F46" i="3"/>
  <c r="F47" i="3" s="1"/>
  <c r="E46" i="3"/>
  <c r="D46" i="3"/>
  <c r="Q42" i="3"/>
  <c r="P42" i="3"/>
  <c r="O42" i="3"/>
  <c r="O47" i="3" s="1"/>
  <c r="O63" i="3" s="1"/>
  <c r="H42" i="3"/>
  <c r="H62" i="3" s="1"/>
  <c r="G42" i="3"/>
  <c r="G47" i="3" s="1"/>
  <c r="F42" i="3"/>
  <c r="F62" i="3" s="1"/>
  <c r="E42" i="3"/>
  <c r="E47" i="3" s="1"/>
  <c r="D42" i="3"/>
  <c r="D62" i="3" s="1"/>
  <c r="P32" i="3"/>
  <c r="P59" i="3" s="1"/>
  <c r="P67" i="3" s="1"/>
  <c r="H32" i="3"/>
  <c r="G32" i="3"/>
  <c r="D32" i="3"/>
  <c r="Q31" i="3"/>
  <c r="Q32" i="3" s="1"/>
  <c r="Q59" i="3" s="1"/>
  <c r="Q67" i="3" s="1"/>
  <c r="P31" i="3"/>
  <c r="O31" i="3"/>
  <c r="O32" i="3" s="1"/>
  <c r="H31" i="3"/>
  <c r="G31" i="3"/>
  <c r="F31" i="3"/>
  <c r="F32" i="3" s="1"/>
  <c r="E31" i="3"/>
  <c r="E32" i="3" s="1"/>
  <c r="D31" i="3"/>
  <c r="L27" i="3"/>
  <c r="M27" i="3" s="1"/>
  <c r="I27" i="3"/>
  <c r="J27" i="3" s="1"/>
  <c r="K27" i="3" s="1"/>
  <c r="M26" i="3"/>
  <c r="L26" i="3"/>
  <c r="K26" i="3"/>
  <c r="J26" i="3"/>
  <c r="I26" i="3"/>
  <c r="M24" i="3"/>
  <c r="L24" i="3"/>
  <c r="K24" i="3"/>
  <c r="J24" i="3"/>
  <c r="I24" i="3"/>
  <c r="M21" i="3"/>
  <c r="L21" i="3"/>
  <c r="K21" i="3"/>
  <c r="J21" i="3"/>
  <c r="I21" i="3"/>
  <c r="I20" i="3"/>
  <c r="Q18" i="3"/>
  <c r="P18" i="3"/>
  <c r="P62" i="3" s="1"/>
  <c r="O18" i="3"/>
  <c r="I17" i="3"/>
  <c r="I12" i="3"/>
  <c r="J12" i="3" s="1"/>
  <c r="K12" i="3" s="1"/>
  <c r="L12" i="3" s="1"/>
  <c r="M12" i="3" s="1"/>
  <c r="H59" i="1"/>
  <c r="F58" i="1"/>
  <c r="E58" i="1"/>
  <c r="H56" i="1"/>
  <c r="M54" i="1"/>
  <c r="L54" i="1"/>
  <c r="K54" i="1"/>
  <c r="J54" i="1"/>
  <c r="H53" i="1"/>
  <c r="G53" i="1"/>
  <c r="F53" i="1"/>
  <c r="E53" i="1"/>
  <c r="D53" i="1"/>
  <c r="M50" i="1"/>
  <c r="M46" i="1" s="1"/>
  <c r="L50" i="1"/>
  <c r="K50" i="1"/>
  <c r="J50" i="1"/>
  <c r="J46" i="1" s="1"/>
  <c r="I50" i="1"/>
  <c r="I46" i="1" s="1"/>
  <c r="H50" i="1"/>
  <c r="G50" i="1"/>
  <c r="F50" i="1"/>
  <c r="F46" i="1" s="1"/>
  <c r="E50" i="1"/>
  <c r="D50" i="1"/>
  <c r="H49" i="1"/>
  <c r="G49" i="1"/>
  <c r="G45" i="1" s="1"/>
  <c r="F49" i="1"/>
  <c r="F45" i="1" s="1"/>
  <c r="E49" i="1"/>
  <c r="D49" i="1"/>
  <c r="H48" i="1"/>
  <c r="G48" i="1"/>
  <c r="F48" i="1"/>
  <c r="E48" i="1"/>
  <c r="D48" i="1"/>
  <c r="H45" i="1"/>
  <c r="H44" i="1"/>
  <c r="G44" i="1"/>
  <c r="E44" i="1"/>
  <c r="D44" i="1"/>
  <c r="H42" i="1"/>
  <c r="D42" i="1"/>
  <c r="M41" i="1"/>
  <c r="L41" i="1"/>
  <c r="K41" i="1"/>
  <c r="J41" i="1"/>
  <c r="I41" i="1"/>
  <c r="H41" i="1"/>
  <c r="H38" i="14" s="1"/>
  <c r="D41" i="1"/>
  <c r="H39" i="1"/>
  <c r="G39" i="1"/>
  <c r="G42" i="1" s="1"/>
  <c r="F39" i="1"/>
  <c r="E39" i="1"/>
  <c r="D39" i="1"/>
  <c r="D57" i="1" s="1"/>
  <c r="M38" i="1"/>
  <c r="L38" i="1"/>
  <c r="M41" i="32" s="1"/>
  <c r="K38" i="1"/>
  <c r="L41" i="32" s="1"/>
  <c r="J38" i="1"/>
  <c r="I38" i="1"/>
  <c r="H38" i="1"/>
  <c r="H46" i="1" s="1"/>
  <c r="G38" i="1"/>
  <c r="G46" i="1" s="1"/>
  <c r="F38" i="1"/>
  <c r="E38" i="1"/>
  <c r="D38" i="1"/>
  <c r="M37" i="1"/>
  <c r="L37" i="1"/>
  <c r="K37" i="1"/>
  <c r="J37" i="1"/>
  <c r="I37" i="1"/>
  <c r="H37" i="1"/>
  <c r="G37" i="1"/>
  <c r="F37" i="1"/>
  <c r="E37" i="1"/>
  <c r="D37" i="1"/>
  <c r="H36" i="1"/>
  <c r="G36" i="1"/>
  <c r="F36" i="1"/>
  <c r="E36" i="1"/>
  <c r="D36" i="1"/>
  <c r="E35" i="1"/>
  <c r="H34" i="1"/>
  <c r="G34" i="1"/>
  <c r="F34" i="1"/>
  <c r="F56" i="1" s="1"/>
  <c r="E34" i="1"/>
  <c r="D34" i="1"/>
  <c r="D56" i="1" s="1"/>
  <c r="H32" i="1"/>
  <c r="D8" i="16" s="1"/>
  <c r="G32" i="1"/>
  <c r="F32" i="1"/>
  <c r="E32" i="1"/>
  <c r="D32" i="1"/>
  <c r="G31" i="1"/>
  <c r="F31" i="1"/>
  <c r="H30" i="1"/>
  <c r="H31" i="1" s="1"/>
  <c r="G30" i="1"/>
  <c r="F30" i="1"/>
  <c r="E30" i="1"/>
  <c r="D30" i="1"/>
  <c r="H28" i="1"/>
  <c r="G28" i="1"/>
  <c r="F28" i="1"/>
  <c r="E28" i="1"/>
  <c r="D28" i="1"/>
  <c r="H27" i="1"/>
  <c r="G27" i="1"/>
  <c r="F27" i="1"/>
  <c r="E27" i="1"/>
  <c r="D27" i="1"/>
  <c r="G26" i="1"/>
  <c r="F26" i="1"/>
  <c r="H25" i="1"/>
  <c r="G25" i="1"/>
  <c r="F25" i="1"/>
  <c r="E25" i="1"/>
  <c r="D25" i="1"/>
  <c r="E26" i="1" s="1"/>
  <c r="H23" i="1"/>
  <c r="G23" i="1"/>
  <c r="F23" i="1"/>
  <c r="E23" i="1"/>
  <c r="D23" i="1"/>
  <c r="H22" i="1"/>
  <c r="G22" i="1"/>
  <c r="F22" i="1"/>
  <c r="E22" i="1"/>
  <c r="D22" i="1"/>
  <c r="M21" i="1"/>
  <c r="L21" i="1"/>
  <c r="K21" i="1"/>
  <c r="J21" i="1"/>
  <c r="I21" i="1"/>
  <c r="H21" i="1"/>
  <c r="G21" i="1"/>
  <c r="F21" i="1"/>
  <c r="E21" i="1"/>
  <c r="D21" i="1"/>
  <c r="M20" i="1"/>
  <c r="L20" i="1"/>
  <c r="K20" i="1"/>
  <c r="J20" i="1"/>
  <c r="I20" i="1"/>
  <c r="H20" i="1"/>
  <c r="F12" i="30" s="1"/>
  <c r="G20" i="1"/>
  <c r="E12" i="30" s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H16" i="14" s="1"/>
  <c r="J16" i="14" s="1"/>
  <c r="K16" i="14" s="1"/>
  <c r="L16" i="14" s="1"/>
  <c r="M16" i="14" s="1"/>
  <c r="N16" i="14" s="1"/>
  <c r="G12" i="1"/>
  <c r="F12" i="1"/>
  <c r="F10" i="14" s="1"/>
  <c r="E12" i="1"/>
  <c r="D12" i="1"/>
  <c r="D16" i="14" s="1"/>
  <c r="H11" i="1"/>
  <c r="G11" i="1"/>
  <c r="F11" i="1"/>
  <c r="E11" i="1"/>
  <c r="D11" i="1"/>
  <c r="G9" i="1"/>
  <c r="N8" i="1"/>
  <c r="H8" i="1"/>
  <c r="G8" i="1"/>
  <c r="F8" i="1"/>
  <c r="E8" i="1"/>
  <c r="E9" i="14" s="1"/>
  <c r="D8" i="1"/>
  <c r="N7" i="1"/>
  <c r="H7" i="1"/>
  <c r="G7" i="1"/>
  <c r="G58" i="1" s="1"/>
  <c r="F7" i="1"/>
  <c r="E7" i="1"/>
  <c r="D7" i="1"/>
  <c r="D96" i="30"/>
  <c r="F95" i="30"/>
  <c r="F94" i="30"/>
  <c r="D15" i="16" s="1"/>
  <c r="E94" i="30"/>
  <c r="E96" i="30" s="1"/>
  <c r="D94" i="30"/>
  <c r="F92" i="30"/>
  <c r="E92" i="30"/>
  <c r="D92" i="30"/>
  <c r="F85" i="30"/>
  <c r="E85" i="30"/>
  <c r="D85" i="30"/>
  <c r="F84" i="30"/>
  <c r="D84" i="30"/>
  <c r="F82" i="30"/>
  <c r="E82" i="30"/>
  <c r="D82" i="30"/>
  <c r="F75" i="30"/>
  <c r="G69" i="30" s="1"/>
  <c r="E75" i="30"/>
  <c r="D75" i="30"/>
  <c r="F69" i="30"/>
  <c r="E69" i="30"/>
  <c r="D69" i="30"/>
  <c r="F62" i="30"/>
  <c r="G56" i="30" s="1"/>
  <c r="E62" i="30"/>
  <c r="D62" i="30"/>
  <c r="D57" i="30" s="1"/>
  <c r="D60" i="30" s="1"/>
  <c r="K57" i="30"/>
  <c r="J57" i="30"/>
  <c r="I57" i="30"/>
  <c r="F56" i="30"/>
  <c r="E56" i="30"/>
  <c r="E57" i="30" s="1"/>
  <c r="E10" i="30" s="1"/>
  <c r="D56" i="30"/>
  <c r="F38" i="30"/>
  <c r="G38" i="30" s="1"/>
  <c r="E38" i="30"/>
  <c r="D38" i="30"/>
  <c r="F37" i="30"/>
  <c r="E37" i="30"/>
  <c r="D37" i="30"/>
  <c r="E32" i="30"/>
  <c r="G31" i="30"/>
  <c r="F31" i="30"/>
  <c r="F32" i="30" s="1"/>
  <c r="F8" i="30" s="1"/>
  <c r="E31" i="30"/>
  <c r="D31" i="30"/>
  <c r="D32" i="30" s="1"/>
  <c r="D8" i="30" s="1"/>
  <c r="D12" i="30"/>
  <c r="E11" i="30"/>
  <c r="D10" i="30"/>
  <c r="E8" i="30"/>
  <c r="J51" i="14"/>
  <c r="H40" i="14"/>
  <c r="F40" i="14"/>
  <c r="E40" i="14"/>
  <c r="D40" i="14"/>
  <c r="D38" i="14"/>
  <c r="H37" i="14"/>
  <c r="G37" i="14"/>
  <c r="F37" i="14"/>
  <c r="E37" i="14"/>
  <c r="D37" i="14"/>
  <c r="K33" i="14"/>
  <c r="L33" i="14" s="1"/>
  <c r="M33" i="14" s="1"/>
  <c r="N33" i="14" s="1"/>
  <c r="J33" i="14"/>
  <c r="D28" i="14"/>
  <c r="F27" i="14"/>
  <c r="F28" i="14" s="1"/>
  <c r="E27" i="14"/>
  <c r="E28" i="14" s="1"/>
  <c r="D27" i="14"/>
  <c r="M25" i="14"/>
  <c r="L25" i="14"/>
  <c r="K25" i="14"/>
  <c r="J49" i="3" s="1"/>
  <c r="H25" i="14"/>
  <c r="G25" i="14"/>
  <c r="F25" i="14"/>
  <c r="E25" i="14"/>
  <c r="D25" i="14"/>
  <c r="G16" i="14"/>
  <c r="I16" i="14" s="1"/>
  <c r="F16" i="14"/>
  <c r="E16" i="14"/>
  <c r="F15" i="14"/>
  <c r="E15" i="14"/>
  <c r="G10" i="14"/>
  <c r="E10" i="14"/>
  <c r="H9" i="14"/>
  <c r="G9" i="14"/>
  <c r="F9" i="14"/>
  <c r="D9" i="14"/>
  <c r="H59" i="42"/>
  <c r="G59" i="42"/>
  <c r="F59" i="42"/>
  <c r="E59" i="42"/>
  <c r="D59" i="42"/>
  <c r="C59" i="42"/>
  <c r="B59" i="42"/>
  <c r="H58" i="42"/>
  <c r="G58" i="42"/>
  <c r="F58" i="42"/>
  <c r="E58" i="42"/>
  <c r="D58" i="42"/>
  <c r="C58" i="42"/>
  <c r="B58" i="42"/>
  <c r="H57" i="42"/>
  <c r="G57" i="42"/>
  <c r="F57" i="42"/>
  <c r="E57" i="42"/>
  <c r="D57" i="42"/>
  <c r="C57" i="42"/>
  <c r="B57" i="42"/>
  <c r="H56" i="42"/>
  <c r="B56" i="42"/>
  <c r="H55" i="42"/>
  <c r="G55" i="42"/>
  <c r="F55" i="42"/>
  <c r="E55" i="42"/>
  <c r="E56" i="42" s="1"/>
  <c r="D55" i="42"/>
  <c r="C55" i="42"/>
  <c r="B55" i="42"/>
  <c r="H54" i="42"/>
  <c r="G54" i="42"/>
  <c r="F54" i="42"/>
  <c r="F56" i="42" s="1"/>
  <c r="E54" i="42"/>
  <c r="D54" i="42"/>
  <c r="D56" i="42" s="1"/>
  <c r="C54" i="42"/>
  <c r="B54" i="42"/>
  <c r="H53" i="42"/>
  <c r="G53" i="42"/>
  <c r="F53" i="42"/>
  <c r="E53" i="42"/>
  <c r="D53" i="42"/>
  <c r="C53" i="42"/>
  <c r="H52" i="42"/>
  <c r="G52" i="42"/>
  <c r="F52" i="42"/>
  <c r="E52" i="42"/>
  <c r="D52" i="42"/>
  <c r="C52" i="42"/>
  <c r="H116" i="43"/>
  <c r="G116" i="43"/>
  <c r="F116" i="43"/>
  <c r="E116" i="43"/>
  <c r="D116" i="43"/>
  <c r="C116" i="43"/>
  <c r="D112" i="43"/>
  <c r="D111" i="43"/>
  <c r="B107" i="43"/>
  <c r="B105" i="43"/>
  <c r="B104" i="43"/>
  <c r="L103" i="43"/>
  <c r="K103" i="43"/>
  <c r="H103" i="43"/>
  <c r="G103" i="43"/>
  <c r="F103" i="43"/>
  <c r="M102" i="43"/>
  <c r="L102" i="43"/>
  <c r="K102" i="43"/>
  <c r="J102" i="43"/>
  <c r="I102" i="43"/>
  <c r="H102" i="43"/>
  <c r="G102" i="43"/>
  <c r="F102" i="43"/>
  <c r="E102" i="43"/>
  <c r="D102" i="43"/>
  <c r="C102" i="43"/>
  <c r="B102" i="43"/>
  <c r="M101" i="43"/>
  <c r="M103" i="43" s="1"/>
  <c r="L101" i="43"/>
  <c r="K101" i="43"/>
  <c r="J101" i="43"/>
  <c r="J103" i="43" s="1"/>
  <c r="I101" i="43"/>
  <c r="I103" i="43" s="1"/>
  <c r="H101" i="43"/>
  <c r="G101" i="43"/>
  <c r="F101" i="43"/>
  <c r="E101" i="43"/>
  <c r="E103" i="43" s="1"/>
  <c r="D101" i="43"/>
  <c r="D103" i="43" s="1"/>
  <c r="C101" i="43"/>
  <c r="C103" i="43" s="1"/>
  <c r="B101" i="43"/>
  <c r="B103" i="43" s="1"/>
  <c r="B106" i="43" s="1"/>
  <c r="F95" i="41"/>
  <c r="E95" i="41"/>
  <c r="D95" i="41"/>
  <c r="C95" i="41"/>
  <c r="B95" i="41"/>
  <c r="F94" i="41"/>
  <c r="C94" i="41"/>
  <c r="F93" i="41"/>
  <c r="E93" i="41"/>
  <c r="E94" i="41" s="1"/>
  <c r="D93" i="41"/>
  <c r="C93" i="41"/>
  <c r="B93" i="41"/>
  <c r="B94" i="41" s="1"/>
  <c r="F92" i="41"/>
  <c r="E92" i="41"/>
  <c r="D92" i="41"/>
  <c r="C92" i="41"/>
  <c r="F91" i="41"/>
  <c r="E91" i="41"/>
  <c r="D91" i="41"/>
  <c r="C91" i="41"/>
  <c r="F90" i="41"/>
  <c r="E90" i="41"/>
  <c r="D90" i="41"/>
  <c r="C90" i="41"/>
  <c r="B90" i="41"/>
  <c r="F89" i="41"/>
  <c r="E89" i="41"/>
  <c r="D89" i="41"/>
  <c r="C89" i="41"/>
  <c r="B89" i="41"/>
  <c r="G88" i="41"/>
  <c r="H88" i="41" s="1"/>
  <c r="I88" i="41" s="1"/>
  <c r="J88" i="41" s="1"/>
  <c r="K88" i="41" s="1"/>
  <c r="F88" i="41"/>
  <c r="E88" i="41"/>
  <c r="D88" i="41"/>
  <c r="C88" i="41"/>
  <c r="B88" i="41"/>
  <c r="F87" i="41"/>
  <c r="G87" i="41" s="1"/>
  <c r="H87" i="41" s="1"/>
  <c r="I87" i="41" s="1"/>
  <c r="E87" i="41"/>
  <c r="D87" i="41"/>
  <c r="C87" i="41"/>
  <c r="B87" i="41"/>
  <c r="F86" i="41"/>
  <c r="E86" i="41"/>
  <c r="D86" i="41"/>
  <c r="C86" i="41"/>
  <c r="B86" i="41"/>
  <c r="I85" i="41"/>
  <c r="J85" i="41" s="1"/>
  <c r="K85" i="41" s="1"/>
  <c r="F85" i="41"/>
  <c r="G85" i="41" s="1"/>
  <c r="H85" i="41" s="1"/>
  <c r="E85" i="41"/>
  <c r="D85" i="41"/>
  <c r="C85" i="41"/>
  <c r="B85" i="41"/>
  <c r="F84" i="41"/>
  <c r="E84" i="41"/>
  <c r="D84" i="41"/>
  <c r="C84" i="41"/>
  <c r="B84" i="41"/>
  <c r="G84" i="41" s="1"/>
  <c r="H84" i="41" s="1"/>
  <c r="I84" i="41" s="1"/>
  <c r="J84" i="41" s="1"/>
  <c r="K84" i="41" s="1"/>
  <c r="G61" i="41"/>
  <c r="G60" i="41"/>
  <c r="H55" i="41"/>
  <c r="J22" i="1" s="1"/>
  <c r="G55" i="41"/>
  <c r="I22" i="1" s="1"/>
  <c r="G48" i="41"/>
  <c r="G47" i="41"/>
  <c r="F128" i="40"/>
  <c r="E128" i="40"/>
  <c r="C128" i="40"/>
  <c r="B128" i="40"/>
  <c r="F127" i="40"/>
  <c r="C127" i="40"/>
  <c r="B127" i="40"/>
  <c r="E126" i="40"/>
  <c r="C126" i="40"/>
  <c r="B126" i="40"/>
  <c r="K125" i="40"/>
  <c r="J125" i="40"/>
  <c r="C125" i="40"/>
  <c r="B125" i="40"/>
  <c r="E124" i="40"/>
  <c r="D123" i="40"/>
  <c r="F122" i="40"/>
  <c r="E122" i="40"/>
  <c r="D122" i="40"/>
  <c r="B122" i="40"/>
  <c r="D121" i="40"/>
  <c r="C121" i="40"/>
  <c r="C130" i="40" s="1"/>
  <c r="F96" i="40"/>
  <c r="E96" i="40"/>
  <c r="F86" i="40"/>
  <c r="F84" i="40"/>
  <c r="E84" i="40"/>
  <c r="F83" i="40"/>
  <c r="E83" i="40"/>
  <c r="D83" i="40"/>
  <c r="D86" i="40" s="1"/>
  <c r="F79" i="40"/>
  <c r="D79" i="40"/>
  <c r="F76" i="40"/>
  <c r="E76" i="40"/>
  <c r="D76" i="40"/>
  <c r="H68" i="40"/>
  <c r="G67" i="40"/>
  <c r="G66" i="40" s="1"/>
  <c r="D128" i="40"/>
  <c r="E127" i="40"/>
  <c r="D127" i="40"/>
  <c r="F126" i="40"/>
  <c r="D126" i="40"/>
  <c r="G19" i="41"/>
  <c r="D125" i="40"/>
  <c r="F124" i="40"/>
  <c r="D124" i="40"/>
  <c r="C124" i="40"/>
  <c r="B124" i="40"/>
  <c r="F123" i="40"/>
  <c r="E123" i="40"/>
  <c r="C123" i="40"/>
  <c r="B123" i="40"/>
  <c r="C122" i="40"/>
  <c r="F121" i="40"/>
  <c r="E121" i="40"/>
  <c r="B121" i="40"/>
  <c r="H57" i="1" l="1"/>
  <c r="E13" i="30"/>
  <c r="E35" i="30"/>
  <c r="F57" i="30"/>
  <c r="F10" i="30" s="1"/>
  <c r="G10" i="30" s="1"/>
  <c r="F70" i="30"/>
  <c r="F73" i="30" s="1"/>
  <c r="I23" i="1"/>
  <c r="H47" i="41"/>
  <c r="L49" i="3"/>
  <c r="N25" i="14"/>
  <c r="M49" i="3" s="1"/>
  <c r="D130" i="40"/>
  <c r="I19" i="1"/>
  <c r="H48" i="41"/>
  <c r="I68" i="40"/>
  <c r="H67" i="40"/>
  <c r="H66" i="40" s="1"/>
  <c r="I27" i="1"/>
  <c r="H60" i="41"/>
  <c r="F11" i="30"/>
  <c r="F13" i="30" s="1"/>
  <c r="D17" i="16" s="1"/>
  <c r="E79" i="40"/>
  <c r="F77" i="40"/>
  <c r="E77" i="40"/>
  <c r="H10" i="30"/>
  <c r="H57" i="30" s="1"/>
  <c r="G57" i="30"/>
  <c r="G8" i="30"/>
  <c r="H38" i="30"/>
  <c r="I23" i="3"/>
  <c r="B130" i="40"/>
  <c r="G21" i="41"/>
  <c r="H61" i="41"/>
  <c r="I28" i="1"/>
  <c r="D94" i="41"/>
  <c r="F35" i="30"/>
  <c r="E41" i="1"/>
  <c r="E38" i="14" s="1"/>
  <c r="I38" i="14" s="1"/>
  <c r="E42" i="1"/>
  <c r="E57" i="1"/>
  <c r="E60" i="30"/>
  <c r="G60" i="30" s="1"/>
  <c r="H10" i="14"/>
  <c r="J10" i="14" s="1"/>
  <c r="K10" i="14" s="1"/>
  <c r="L10" i="14" s="1"/>
  <c r="M10" i="14" s="1"/>
  <c r="N10" i="14" s="1"/>
  <c r="F60" i="30"/>
  <c r="H9" i="1"/>
  <c r="F59" i="1"/>
  <c r="F57" i="1"/>
  <c r="J17" i="3"/>
  <c r="J18" i="32"/>
  <c r="J20" i="3"/>
  <c r="K18" i="32" s="1"/>
  <c r="G16" i="41"/>
  <c r="G20" i="41"/>
  <c r="I55" i="41"/>
  <c r="I9" i="14"/>
  <c r="J9" i="14" s="1"/>
  <c r="K9" i="14" s="1"/>
  <c r="L9" i="14" s="1"/>
  <c r="M9" i="14" s="1"/>
  <c r="N9" i="14" s="1"/>
  <c r="D10" i="14"/>
  <c r="I10" i="14" s="1"/>
  <c r="D15" i="14"/>
  <c r="D13" i="30"/>
  <c r="D35" i="30"/>
  <c r="E84" i="30"/>
  <c r="H58" i="1"/>
  <c r="E31" i="1"/>
  <c r="D7" i="16"/>
  <c r="D10" i="16" s="1"/>
  <c r="H35" i="1"/>
  <c r="F35" i="1"/>
  <c r="F44" i="1"/>
  <c r="K46" i="1"/>
  <c r="E59" i="1"/>
  <c r="G57" i="3"/>
  <c r="G57" i="1" s="1"/>
  <c r="G40" i="14"/>
  <c r="E111" i="40"/>
  <c r="E86" i="40"/>
  <c r="G90" i="41"/>
  <c r="H90" i="41" s="1"/>
  <c r="I90" i="41" s="1"/>
  <c r="J90" i="41" s="1"/>
  <c r="K90" i="41" s="1"/>
  <c r="C56" i="42"/>
  <c r="G56" i="42"/>
  <c r="D14" i="16"/>
  <c r="F96" i="30"/>
  <c r="E9" i="1"/>
  <c r="E56" i="1"/>
  <c r="F9" i="1"/>
  <c r="G35" i="1"/>
  <c r="F41" i="1"/>
  <c r="F38" i="14" s="1"/>
  <c r="F42" i="1"/>
  <c r="L46" i="1"/>
  <c r="G56" i="1"/>
  <c r="G59" i="1"/>
  <c r="E58" i="3"/>
  <c r="F58" i="3"/>
  <c r="E62" i="3"/>
  <c r="H26" i="1"/>
  <c r="I56" i="3"/>
  <c r="J41" i="32"/>
  <c r="G41" i="1"/>
  <c r="G38" i="14" s="1"/>
  <c r="O62" i="3"/>
  <c r="D47" i="3"/>
  <c r="H47" i="3"/>
  <c r="J64" i="32"/>
  <c r="E35" i="16"/>
  <c r="D7" i="23" l="1"/>
  <c r="F37" i="16"/>
  <c r="J37" i="16"/>
  <c r="M37" i="16"/>
  <c r="G37" i="16"/>
  <c r="K37" i="16"/>
  <c r="E37" i="16"/>
  <c r="I37" i="16"/>
  <c r="H37" i="16"/>
  <c r="L37" i="16"/>
  <c r="D37" i="16"/>
  <c r="D19" i="23"/>
  <c r="G35" i="16"/>
  <c r="H35" i="16"/>
  <c r="I35" i="16"/>
  <c r="F35" i="16"/>
  <c r="H60" i="30"/>
  <c r="I60" i="30" s="1"/>
  <c r="J60" i="30" s="1"/>
  <c r="K60" i="30" s="1"/>
  <c r="G59" i="30"/>
  <c r="G94" i="30" s="1"/>
  <c r="G62" i="30"/>
  <c r="J56" i="3"/>
  <c r="K56" i="3" s="1"/>
  <c r="L56" i="3" s="1"/>
  <c r="M56" i="3" s="1"/>
  <c r="H20" i="41"/>
  <c r="H19" i="41"/>
  <c r="H58" i="3"/>
  <c r="K17" i="3"/>
  <c r="G18" i="41"/>
  <c r="H8" i="30"/>
  <c r="G32" i="30"/>
  <c r="D58" i="3"/>
  <c r="D59" i="3" s="1"/>
  <c r="H16" i="41"/>
  <c r="G17" i="41"/>
  <c r="J28" i="1"/>
  <c r="I61" i="41"/>
  <c r="J21" i="41"/>
  <c r="G124" i="40"/>
  <c r="J19" i="1"/>
  <c r="I48" i="41"/>
  <c r="G58" i="3"/>
  <c r="D12" i="16"/>
  <c r="D13" i="16" s="1"/>
  <c r="D18" i="16" s="1"/>
  <c r="J27" i="1"/>
  <c r="I60" i="41"/>
  <c r="E63" i="3"/>
  <c r="I47" i="41"/>
  <c r="J23" i="1"/>
  <c r="F63" i="3"/>
  <c r="H21" i="41"/>
  <c r="J55" i="41"/>
  <c r="K22" i="1"/>
  <c r="K20" i="3"/>
  <c r="L18" i="32" s="1"/>
  <c r="G15" i="41"/>
  <c r="J23" i="3"/>
  <c r="I38" i="30"/>
  <c r="I21" i="41"/>
  <c r="J68" i="40"/>
  <c r="I67" i="40"/>
  <c r="I66" i="40" s="1"/>
  <c r="G123" i="40" l="1"/>
  <c r="G122" i="40"/>
  <c r="K19" i="1"/>
  <c r="J48" i="41"/>
  <c r="H17" i="41"/>
  <c r="I16" i="41"/>
  <c r="H32" i="30"/>
  <c r="L17" i="3"/>
  <c r="I20" i="41"/>
  <c r="K27" i="1"/>
  <c r="J60" i="41"/>
  <c r="I19" i="41"/>
  <c r="J12" i="32"/>
  <c r="H15" i="41"/>
  <c r="H121" i="40"/>
  <c r="J61" i="41"/>
  <c r="K28" i="1"/>
  <c r="K23" i="3"/>
  <c r="J38" i="30"/>
  <c r="I32" i="30"/>
  <c r="G14" i="41"/>
  <c r="I25" i="3"/>
  <c r="H56" i="30"/>
  <c r="J67" i="40"/>
  <c r="J66" i="40" s="1"/>
  <c r="K68" i="40"/>
  <c r="K67" i="40" s="1"/>
  <c r="K66" i="40" s="1"/>
  <c r="L20" i="3"/>
  <c r="M18" i="32" s="1"/>
  <c r="K55" i="41"/>
  <c r="M22" i="1" s="1"/>
  <c r="L22" i="1"/>
  <c r="K23" i="1"/>
  <c r="J47" i="41"/>
  <c r="G63" i="3"/>
  <c r="G128" i="40"/>
  <c r="G5" i="41"/>
  <c r="G126" i="40"/>
  <c r="G127" i="40"/>
  <c r="E125" i="40"/>
  <c r="E130" i="40" s="1"/>
  <c r="G121" i="40"/>
  <c r="K21" i="41"/>
  <c r="D63" i="3"/>
  <c r="G34" i="30"/>
  <c r="G92" i="30" s="1"/>
  <c r="H18" i="41"/>
  <c r="H123" i="40"/>
  <c r="H63" i="3"/>
  <c r="G37" i="30" l="1"/>
  <c r="H31" i="30" s="1"/>
  <c r="H14" i="41"/>
  <c r="I22" i="3"/>
  <c r="L23" i="3"/>
  <c r="K38" i="30"/>
  <c r="J32" i="30"/>
  <c r="L27" i="1"/>
  <c r="K60" i="41"/>
  <c r="M27" i="1" s="1"/>
  <c r="H5" i="41"/>
  <c r="H128" i="40"/>
  <c r="F125" i="40"/>
  <c r="F130" i="40" s="1"/>
  <c r="H127" i="40"/>
  <c r="H126" i="40"/>
  <c r="J16" i="41"/>
  <c r="K47" i="41"/>
  <c r="M23" i="1" s="1"/>
  <c r="L23" i="1"/>
  <c r="N18" i="32"/>
  <c r="M20" i="3"/>
  <c r="I121" i="40"/>
  <c r="M17" i="3"/>
  <c r="I17" i="41"/>
  <c r="L19" i="1"/>
  <c r="K48" i="41"/>
  <c r="M19" i="1" s="1"/>
  <c r="G36" i="41"/>
  <c r="I17" i="1" s="1"/>
  <c r="G32" i="41"/>
  <c r="I13" i="1" s="1"/>
  <c r="G6" i="41"/>
  <c r="I7" i="1"/>
  <c r="G35" i="41"/>
  <c r="I16" i="1" s="1"/>
  <c r="G34" i="41"/>
  <c r="I15" i="1" s="1"/>
  <c r="G33" i="41"/>
  <c r="I14" i="1" s="1"/>
  <c r="G53" i="41"/>
  <c r="I18" i="1" s="1"/>
  <c r="G12" i="41"/>
  <c r="G93" i="41" s="1"/>
  <c r="G94" i="41" s="1"/>
  <c r="H122" i="40"/>
  <c r="I18" i="41"/>
  <c r="E14" i="16"/>
  <c r="J11" i="32"/>
  <c r="H59" i="30"/>
  <c r="H94" i="30" s="1"/>
  <c r="L28" i="1"/>
  <c r="K61" i="41"/>
  <c r="M28" i="1" s="1"/>
  <c r="I15" i="41"/>
  <c r="J19" i="41"/>
  <c r="J20" i="41"/>
  <c r="H124" i="40"/>
  <c r="H62" i="30" l="1"/>
  <c r="I56" i="30"/>
  <c r="J25" i="3"/>
  <c r="J69" i="32"/>
  <c r="I9" i="1"/>
  <c r="G84" i="30"/>
  <c r="I58" i="1"/>
  <c r="G82" i="30"/>
  <c r="J27" i="14"/>
  <c r="J26" i="32" s="1"/>
  <c r="G27" i="14" s="1"/>
  <c r="G28" i="14" s="1"/>
  <c r="J121" i="40"/>
  <c r="K16" i="41"/>
  <c r="J7" i="1"/>
  <c r="H53" i="41"/>
  <c r="J18" i="1" s="1"/>
  <c r="H35" i="41"/>
  <c r="J16" i="1" s="1"/>
  <c r="H34" i="41"/>
  <c r="J15" i="1" s="1"/>
  <c r="H33" i="41"/>
  <c r="J14" i="1" s="1"/>
  <c r="H32" i="41"/>
  <c r="J13" i="1" s="1"/>
  <c r="H36" i="41"/>
  <c r="J17" i="1" s="1"/>
  <c r="H6" i="41"/>
  <c r="J15" i="41"/>
  <c r="I14" i="41"/>
  <c r="H34" i="30"/>
  <c r="H92" i="30" s="1"/>
  <c r="I122" i="40"/>
  <c r="I124" i="40"/>
  <c r="M23" i="3"/>
  <c r="K32" i="30"/>
  <c r="K19" i="41"/>
  <c r="J18" i="41"/>
  <c r="J17" i="41"/>
  <c r="J60" i="32"/>
  <c r="J61" i="32" s="1"/>
  <c r="I12" i="1"/>
  <c r="G13" i="41"/>
  <c r="G11" i="41"/>
  <c r="G91" i="41"/>
  <c r="I8" i="1"/>
  <c r="I10" i="3" s="1"/>
  <c r="I5" i="41"/>
  <c r="I128" i="40"/>
  <c r="I126" i="40"/>
  <c r="I127" i="40"/>
  <c r="G125" i="40"/>
  <c r="G130" i="40" s="1"/>
  <c r="K20" i="41"/>
  <c r="K12" i="32"/>
  <c r="I123" i="40"/>
  <c r="H12" i="41"/>
  <c r="J124" i="40" l="1"/>
  <c r="I41" i="3"/>
  <c r="I37" i="3"/>
  <c r="H37" i="30"/>
  <c r="I31" i="30" s="1"/>
  <c r="J12" i="1"/>
  <c r="H13" i="41"/>
  <c r="H11" i="41"/>
  <c r="J22" i="3"/>
  <c r="K69" i="32"/>
  <c r="H84" i="30"/>
  <c r="H82" i="30"/>
  <c r="K27" i="14"/>
  <c r="K26" i="32" s="1"/>
  <c r="H27" i="14" s="1"/>
  <c r="H28" i="14" s="1"/>
  <c r="I28" i="14" s="1"/>
  <c r="J9" i="1"/>
  <c r="J58" i="1"/>
  <c r="I45" i="3"/>
  <c r="I44" i="3"/>
  <c r="I13" i="3"/>
  <c r="J13" i="3" s="1"/>
  <c r="I11" i="3"/>
  <c r="G11" i="30"/>
  <c r="K18" i="41"/>
  <c r="J5" i="41"/>
  <c r="J128" i="40"/>
  <c r="J126" i="40"/>
  <c r="H125" i="40"/>
  <c r="H130" i="40" s="1"/>
  <c r="J127" i="40"/>
  <c r="I34" i="41"/>
  <c r="K15" i="1" s="1"/>
  <c r="I33" i="41"/>
  <c r="K14" i="1" s="1"/>
  <c r="I32" i="41"/>
  <c r="K13" i="1" s="1"/>
  <c r="I36" i="41"/>
  <c r="K17" i="1" s="1"/>
  <c r="I35" i="41"/>
  <c r="K16" i="1" s="1"/>
  <c r="I6" i="41"/>
  <c r="I53" i="41"/>
  <c r="K18" i="1" s="1"/>
  <c r="K7" i="1"/>
  <c r="I11" i="1"/>
  <c r="G59" i="41"/>
  <c r="K17" i="41"/>
  <c r="H93" i="41"/>
  <c r="H94" i="41" s="1"/>
  <c r="K121" i="40"/>
  <c r="I59" i="30"/>
  <c r="I94" i="30" s="1"/>
  <c r="J123" i="40"/>
  <c r="I12" i="41"/>
  <c r="J122" i="40"/>
  <c r="J14" i="41"/>
  <c r="J71" i="32"/>
  <c r="I40" i="3"/>
  <c r="J40" i="3" s="1"/>
  <c r="I36" i="3"/>
  <c r="I38" i="3"/>
  <c r="I16" i="3"/>
  <c r="I43" i="3"/>
  <c r="J62" i="32"/>
  <c r="F14" i="16"/>
  <c r="K11" i="32"/>
  <c r="K15" i="41"/>
  <c r="J8" i="1"/>
  <c r="J10" i="3" s="1"/>
  <c r="H91" i="41"/>
  <c r="K122" i="40" l="1"/>
  <c r="K124" i="40"/>
  <c r="K123" i="40"/>
  <c r="J130" i="40"/>
  <c r="J37" i="3"/>
  <c r="J11" i="3"/>
  <c r="K23" i="32" s="1"/>
  <c r="J41" i="3"/>
  <c r="J23" i="32"/>
  <c r="I62" i="30"/>
  <c r="K25" i="3" s="1"/>
  <c r="I84" i="30" s="1"/>
  <c r="J44" i="3"/>
  <c r="K25" i="32" s="1"/>
  <c r="J25" i="32"/>
  <c r="I46" i="3"/>
  <c r="K59" i="32"/>
  <c r="J12" i="41"/>
  <c r="J93" i="41" s="1"/>
  <c r="J94" i="41" s="1"/>
  <c r="K14" i="41"/>
  <c r="I25" i="1"/>
  <c r="I26" i="1" s="1"/>
  <c r="G65" i="41"/>
  <c r="K8" i="1"/>
  <c r="K10" i="3" s="1"/>
  <c r="I91" i="41"/>
  <c r="J36" i="3"/>
  <c r="J16" i="3"/>
  <c r="K22" i="32" s="1"/>
  <c r="J22" i="32"/>
  <c r="J33" i="41"/>
  <c r="L14" i="1" s="1"/>
  <c r="J36" i="41"/>
  <c r="L17" i="1" s="1"/>
  <c r="J35" i="41"/>
  <c r="L16" i="1" s="1"/>
  <c r="J34" i="41"/>
  <c r="L15" i="1" s="1"/>
  <c r="J6" i="41"/>
  <c r="J53" i="41"/>
  <c r="L18" i="1" s="1"/>
  <c r="L7" i="1"/>
  <c r="J32" i="41"/>
  <c r="L13" i="1" s="1"/>
  <c r="G70" i="30"/>
  <c r="H11" i="30"/>
  <c r="G13" i="30"/>
  <c r="E17" i="16" s="1"/>
  <c r="K60" i="32"/>
  <c r="J45" i="3"/>
  <c r="J21" i="32"/>
  <c r="K71" i="32"/>
  <c r="I11" i="41"/>
  <c r="K12" i="1"/>
  <c r="K40" i="3" s="1"/>
  <c r="I13" i="41"/>
  <c r="I34" i="30"/>
  <c r="I92" i="30" s="1"/>
  <c r="J38" i="3"/>
  <c r="L12" i="32"/>
  <c r="K5" i="41"/>
  <c r="K128" i="40"/>
  <c r="K126" i="40"/>
  <c r="I125" i="40"/>
  <c r="I130" i="40" s="1"/>
  <c r="K127" i="40"/>
  <c r="K58" i="1"/>
  <c r="L69" i="32"/>
  <c r="K9" i="1"/>
  <c r="K11" i="3" s="1"/>
  <c r="L27" i="14"/>
  <c r="L26" i="32" s="1"/>
  <c r="I93" i="41"/>
  <c r="I94" i="41" s="1"/>
  <c r="J11" i="1"/>
  <c r="H59" i="41"/>
  <c r="K38" i="3" l="1"/>
  <c r="K41" i="3"/>
  <c r="K44" i="3"/>
  <c r="L25" i="32" s="1"/>
  <c r="K130" i="40"/>
  <c r="K37" i="3"/>
  <c r="K13" i="3"/>
  <c r="L23" i="32" s="1"/>
  <c r="I37" i="30"/>
  <c r="K22" i="3" s="1"/>
  <c r="J56" i="30"/>
  <c r="G72" i="30"/>
  <c r="G95" i="30" s="1"/>
  <c r="G70" i="41"/>
  <c r="G66" i="41"/>
  <c r="I32" i="1" s="1"/>
  <c r="E8" i="16" s="1"/>
  <c r="I30" i="1"/>
  <c r="I31" i="1" s="1"/>
  <c r="J25" i="1"/>
  <c r="J26" i="1" s="1"/>
  <c r="H65" i="41"/>
  <c r="J11" i="41"/>
  <c r="L12" i="1"/>
  <c r="L38" i="3" s="1"/>
  <c r="J13" i="41"/>
  <c r="K11" i="1"/>
  <c r="I59" i="41"/>
  <c r="L71" i="32"/>
  <c r="K45" i="3"/>
  <c r="K21" i="32"/>
  <c r="J91" i="41"/>
  <c r="L8" i="1"/>
  <c r="L10" i="3" s="1"/>
  <c r="M7" i="1"/>
  <c r="K36" i="41"/>
  <c r="M17" i="1" s="1"/>
  <c r="K32" i="41"/>
  <c r="M13" i="1" s="1"/>
  <c r="K6" i="41"/>
  <c r="K53" i="41"/>
  <c r="M18" i="1" s="1"/>
  <c r="K35" i="41"/>
  <c r="M16" i="1" s="1"/>
  <c r="K33" i="41"/>
  <c r="M14" i="1" s="1"/>
  <c r="K34" i="41"/>
  <c r="M15" i="1" s="1"/>
  <c r="L11" i="32"/>
  <c r="G14" i="16"/>
  <c r="K16" i="3"/>
  <c r="K36" i="3"/>
  <c r="H70" i="30"/>
  <c r="I11" i="30"/>
  <c r="H13" i="30"/>
  <c r="F17" i="16" s="1"/>
  <c r="M69" i="32"/>
  <c r="M27" i="14"/>
  <c r="M26" i="32" s="1"/>
  <c r="L9" i="1"/>
  <c r="L11" i="3" s="1"/>
  <c r="L58" i="1"/>
  <c r="K12" i="41"/>
  <c r="K93" i="41" s="1"/>
  <c r="K94" i="41" s="1"/>
  <c r="K61" i="32"/>
  <c r="J43" i="3" s="1"/>
  <c r="J31" i="30" l="1"/>
  <c r="L37" i="3"/>
  <c r="L13" i="3"/>
  <c r="L41" i="3"/>
  <c r="J59" i="30"/>
  <c r="J94" i="30" s="1"/>
  <c r="M12" i="32" s="1"/>
  <c r="K62" i="32"/>
  <c r="M23" i="32"/>
  <c r="I29" i="3"/>
  <c r="I39" i="3"/>
  <c r="L60" i="32"/>
  <c r="I82" i="30"/>
  <c r="L22" i="32"/>
  <c r="G75" i="30"/>
  <c r="L44" i="3"/>
  <c r="M25" i="32" s="1"/>
  <c r="M12" i="1"/>
  <c r="K13" i="41"/>
  <c r="K11" i="41"/>
  <c r="M8" i="1"/>
  <c r="M10" i="3" s="1"/>
  <c r="N71" i="32" s="1"/>
  <c r="K91" i="41"/>
  <c r="M9" i="1"/>
  <c r="M58" i="1"/>
  <c r="N27" i="14"/>
  <c r="N26" i="32" s="1"/>
  <c r="N69" i="32"/>
  <c r="M71" i="32"/>
  <c r="L21" i="32"/>
  <c r="L45" i="3"/>
  <c r="L16" i="3"/>
  <c r="L36" i="3"/>
  <c r="J30" i="1"/>
  <c r="J31" i="1" s="1"/>
  <c r="H66" i="41"/>
  <c r="J32" i="1" s="1"/>
  <c r="F8" i="16" s="1"/>
  <c r="I34" i="1"/>
  <c r="E7" i="16" s="1"/>
  <c r="G74" i="41"/>
  <c r="G71" i="41"/>
  <c r="I36" i="1" s="1"/>
  <c r="G76" i="41"/>
  <c r="J13" i="32"/>
  <c r="E15" i="16"/>
  <c r="G96" i="30"/>
  <c r="I70" i="30"/>
  <c r="I13" i="30"/>
  <c r="G17" i="16" s="1"/>
  <c r="J11" i="30"/>
  <c r="L59" i="32"/>
  <c r="J46" i="3"/>
  <c r="L40" i="3"/>
  <c r="M40" i="3" s="1"/>
  <c r="K25" i="1"/>
  <c r="K26" i="1" s="1"/>
  <c r="I65" i="41"/>
  <c r="L11" i="1"/>
  <c r="J59" i="41"/>
  <c r="J34" i="30"/>
  <c r="J92" i="30" s="1"/>
  <c r="M13" i="3" l="1"/>
  <c r="M41" i="3"/>
  <c r="M37" i="3"/>
  <c r="J62" i="30"/>
  <c r="J37" i="30"/>
  <c r="L25" i="1"/>
  <c r="L26" i="1" s="1"/>
  <c r="J65" i="41"/>
  <c r="I48" i="1"/>
  <c r="I44" i="1" s="1"/>
  <c r="G78" i="41"/>
  <c r="M11" i="1"/>
  <c r="K59" i="41"/>
  <c r="J39" i="3"/>
  <c r="J24" i="32"/>
  <c r="M11" i="32"/>
  <c r="H14" i="16"/>
  <c r="J70" i="30"/>
  <c r="K11" i="30"/>
  <c r="J13" i="30"/>
  <c r="H17" i="16" s="1"/>
  <c r="H70" i="41"/>
  <c r="M45" i="3"/>
  <c r="N21" i="32" s="1"/>
  <c r="M21" i="32"/>
  <c r="J19" i="32"/>
  <c r="J29" i="3"/>
  <c r="K19" i="32" s="1"/>
  <c r="L22" i="3"/>
  <c r="K31" i="30"/>
  <c r="K30" i="1"/>
  <c r="K31" i="1" s="1"/>
  <c r="I66" i="41"/>
  <c r="K32" i="1" s="1"/>
  <c r="G8" i="16" s="1"/>
  <c r="G95" i="41"/>
  <c r="G92" i="41"/>
  <c r="I39" i="1"/>
  <c r="M36" i="3"/>
  <c r="M16" i="3"/>
  <c r="N22" i="32" s="1"/>
  <c r="M22" i="32"/>
  <c r="M11" i="3"/>
  <c r="N23" i="32" s="1"/>
  <c r="L61" i="32"/>
  <c r="K43" i="3" s="1"/>
  <c r="L62" i="32"/>
  <c r="I28" i="3"/>
  <c r="H69" i="30"/>
  <c r="J8" i="32"/>
  <c r="H8" i="20"/>
  <c r="I35" i="1"/>
  <c r="I56" i="1"/>
  <c r="M44" i="3"/>
  <c r="M38" i="3"/>
  <c r="I70" i="41" l="1"/>
  <c r="K34" i="1" s="1"/>
  <c r="O25" i="32"/>
  <c r="N25" i="32"/>
  <c r="L25" i="3"/>
  <c r="J84" i="30" s="1"/>
  <c r="K56" i="30"/>
  <c r="K59" i="30" s="1"/>
  <c r="K94" i="30" s="1"/>
  <c r="J27" i="32"/>
  <c r="J66" i="32" s="1"/>
  <c r="K39" i="3"/>
  <c r="K24" i="32"/>
  <c r="G85" i="30"/>
  <c r="I31" i="3"/>
  <c r="J32" i="32"/>
  <c r="J38" i="32" s="1"/>
  <c r="J67" i="32" s="1"/>
  <c r="N12" i="32"/>
  <c r="K34" i="30"/>
  <c r="K92" i="30" s="1"/>
  <c r="M25" i="1"/>
  <c r="M26" i="1" s="1"/>
  <c r="K65" i="41"/>
  <c r="H72" i="30"/>
  <c r="H95" i="30" s="1"/>
  <c r="I49" i="1"/>
  <c r="I45" i="1" s="1"/>
  <c r="G80" i="41"/>
  <c r="G81" i="41" s="1"/>
  <c r="I53" i="1" s="1"/>
  <c r="K62" i="30"/>
  <c r="M25" i="3" s="1"/>
  <c r="K84" i="30" s="1"/>
  <c r="J82" i="30"/>
  <c r="K13" i="30"/>
  <c r="I17" i="16" s="1"/>
  <c r="K70" i="30"/>
  <c r="L30" i="1"/>
  <c r="L31" i="1" s="1"/>
  <c r="J66" i="41"/>
  <c r="L32" i="1" s="1"/>
  <c r="H8" i="16" s="1"/>
  <c r="H71" i="41"/>
  <c r="J36" i="1" s="1"/>
  <c r="J34" i="1"/>
  <c r="H76" i="41"/>
  <c r="H74" i="41"/>
  <c r="M59" i="32"/>
  <c r="K46" i="3"/>
  <c r="I59" i="1"/>
  <c r="J37" i="14"/>
  <c r="K29" i="3"/>
  <c r="I76" i="41" l="1"/>
  <c r="I74" i="41"/>
  <c r="I95" i="41" s="1"/>
  <c r="I71" i="41"/>
  <c r="K36" i="1" s="1"/>
  <c r="G7" i="16"/>
  <c r="J8" i="20"/>
  <c r="F7" i="16"/>
  <c r="I8" i="20"/>
  <c r="H75" i="30"/>
  <c r="J28" i="3" s="1"/>
  <c r="M60" i="32"/>
  <c r="M61" i="32" s="1"/>
  <c r="L43" i="3" s="1"/>
  <c r="L29" i="3"/>
  <c r="K39" i="1"/>
  <c r="I92" i="41"/>
  <c r="L19" i="32"/>
  <c r="H95" i="41"/>
  <c r="H92" i="41"/>
  <c r="J39" i="1"/>
  <c r="J70" i="41"/>
  <c r="K13" i="32"/>
  <c r="F15" i="16"/>
  <c r="H96" i="30"/>
  <c r="K37" i="30"/>
  <c r="M22" i="3" s="1"/>
  <c r="I14" i="16"/>
  <c r="N11" i="32"/>
  <c r="L39" i="3"/>
  <c r="L24" i="32"/>
  <c r="K8" i="20"/>
  <c r="L8" i="32"/>
  <c r="K56" i="1"/>
  <c r="K35" i="1"/>
  <c r="I40" i="1"/>
  <c r="J46" i="32"/>
  <c r="J68" i="32" s="1"/>
  <c r="J70" i="32" s="1"/>
  <c r="J72" i="32" s="1"/>
  <c r="H78" i="41"/>
  <c r="J48" i="1"/>
  <c r="J44" i="1" s="1"/>
  <c r="J56" i="1"/>
  <c r="K8" i="32"/>
  <c r="J35" i="1"/>
  <c r="K66" i="41"/>
  <c r="M32" i="1" s="1"/>
  <c r="I8" i="16" s="1"/>
  <c r="M30" i="1"/>
  <c r="M31" i="1" s="1"/>
  <c r="K48" i="1"/>
  <c r="K44" i="1" s="1"/>
  <c r="I78" i="41"/>
  <c r="K70" i="41" l="1"/>
  <c r="K76" i="41" s="1"/>
  <c r="I69" i="30"/>
  <c r="I72" i="30" s="1"/>
  <c r="I95" i="30" s="1"/>
  <c r="J74" i="32"/>
  <c r="J42" i="32" s="1"/>
  <c r="J49" i="32" s="1"/>
  <c r="J52" i="32" s="1"/>
  <c r="J54" i="32" s="1"/>
  <c r="I34" i="3"/>
  <c r="J75" i="32"/>
  <c r="J76" i="32" s="1"/>
  <c r="N60" i="32"/>
  <c r="K82" i="30"/>
  <c r="L37" i="14"/>
  <c r="K59" i="1"/>
  <c r="H80" i="41"/>
  <c r="H81" i="41" s="1"/>
  <c r="J53" i="1" s="1"/>
  <c r="J49" i="1"/>
  <c r="J45" i="1" s="1"/>
  <c r="N59" i="32"/>
  <c r="L46" i="3"/>
  <c r="I80" i="41"/>
  <c r="I81" i="41" s="1"/>
  <c r="K53" i="1" s="1"/>
  <c r="K49" i="1"/>
  <c r="K45" i="1" s="1"/>
  <c r="M62" i="32"/>
  <c r="I54" i="1"/>
  <c r="I42" i="1"/>
  <c r="J40" i="14" s="1"/>
  <c r="M39" i="3"/>
  <c r="N24" i="32" s="1"/>
  <c r="M24" i="32"/>
  <c r="L34" i="1"/>
  <c r="H7" i="16" s="1"/>
  <c r="J76" i="41"/>
  <c r="J74" i="41"/>
  <c r="J71" i="41"/>
  <c r="L36" i="1" s="1"/>
  <c r="M29" i="3"/>
  <c r="N19" i="32" s="1"/>
  <c r="K27" i="32"/>
  <c r="H85" i="30"/>
  <c r="J31" i="3"/>
  <c r="K32" i="32"/>
  <c r="K38" i="32" s="1"/>
  <c r="K67" i="32" s="1"/>
  <c r="J59" i="1"/>
  <c r="K37" i="14"/>
  <c r="M19" i="32"/>
  <c r="K71" i="41" l="1"/>
  <c r="M36" i="1" s="1"/>
  <c r="M34" i="1"/>
  <c r="M56" i="1" s="1"/>
  <c r="K74" i="41"/>
  <c r="M39" i="1" s="1"/>
  <c r="K66" i="32"/>
  <c r="L39" i="1"/>
  <c r="J92" i="41"/>
  <c r="J95" i="41"/>
  <c r="L13" i="32"/>
  <c r="L27" i="32" s="1"/>
  <c r="G15" i="16"/>
  <c r="I96" i="30"/>
  <c r="M8" i="32"/>
  <c r="L35" i="1"/>
  <c r="L56" i="1"/>
  <c r="N61" i="32"/>
  <c r="M43" i="3" s="1"/>
  <c r="M46" i="3" s="1"/>
  <c r="K40" i="1"/>
  <c r="K42" i="1" s="1"/>
  <c r="L46" i="32"/>
  <c r="L68" i="32" s="1"/>
  <c r="M48" i="1"/>
  <c r="K78" i="41"/>
  <c r="I50" i="3"/>
  <c r="I57" i="3" s="1"/>
  <c r="I57" i="1" s="1"/>
  <c r="L48" i="1"/>
  <c r="L44" i="1" s="1"/>
  <c r="J78" i="41"/>
  <c r="K46" i="32"/>
  <c r="K68" i="32" s="1"/>
  <c r="J40" i="1"/>
  <c r="J42" i="1" s="1"/>
  <c r="K40" i="14" s="1"/>
  <c r="I75" i="30"/>
  <c r="I42" i="3"/>
  <c r="I47" i="3" s="1"/>
  <c r="K73" i="32"/>
  <c r="I8" i="3"/>
  <c r="F43" i="16" s="1"/>
  <c r="J79" i="32"/>
  <c r="J80" i="32" s="1"/>
  <c r="J81" i="32" s="1"/>
  <c r="E9" i="16" s="1"/>
  <c r="E10" i="16" s="1"/>
  <c r="I7" i="16" l="1"/>
  <c r="M35" i="1"/>
  <c r="M44" i="1"/>
  <c r="N8" i="32"/>
  <c r="K95" i="41"/>
  <c r="K92" i="41"/>
  <c r="E12" i="16"/>
  <c r="E13" i="16" s="1"/>
  <c r="J50" i="3"/>
  <c r="J57" i="3" s="1"/>
  <c r="J57" i="1" s="1"/>
  <c r="L40" i="14"/>
  <c r="E11" i="16"/>
  <c r="K28" i="3"/>
  <c r="J69" i="30"/>
  <c r="M59" i="1"/>
  <c r="N37" i="14"/>
  <c r="K53" i="32"/>
  <c r="D18" i="23"/>
  <c r="I18" i="3"/>
  <c r="N62" i="32"/>
  <c r="L59" i="1"/>
  <c r="M37" i="14"/>
  <c r="L66" i="32"/>
  <c r="I58" i="3"/>
  <c r="I63" i="3" s="1"/>
  <c r="L49" i="1"/>
  <c r="L45" i="1" s="1"/>
  <c r="J80" i="41"/>
  <c r="J81" i="41" s="1"/>
  <c r="L53" i="1" s="1"/>
  <c r="M49" i="1"/>
  <c r="M45" i="1" s="1"/>
  <c r="K80" i="41"/>
  <c r="K81" i="41" s="1"/>
  <c r="M53" i="1" s="1"/>
  <c r="M46" i="32" l="1"/>
  <c r="M68" i="32" s="1"/>
  <c r="L40" i="1"/>
  <c r="L42" i="1" s="1"/>
  <c r="M40" i="14" s="1"/>
  <c r="I62" i="3"/>
  <c r="I32" i="3"/>
  <c r="I59" i="3" s="1"/>
  <c r="N46" i="32"/>
  <c r="N68" i="32" s="1"/>
  <c r="M40" i="1"/>
  <c r="M42" i="1" s="1"/>
  <c r="J72" i="30"/>
  <c r="J95" i="30" s="1"/>
  <c r="I85" i="30"/>
  <c r="K31" i="3"/>
  <c r="L32" i="32"/>
  <c r="L38" i="32" s="1"/>
  <c r="K50" i="3"/>
  <c r="K57" i="3" s="1"/>
  <c r="K57" i="1" s="1"/>
  <c r="K64" i="32"/>
  <c r="K70" i="32" s="1"/>
  <c r="K72" i="32" s="1"/>
  <c r="K78" i="32"/>
  <c r="E16" i="16" l="1"/>
  <c r="E18" i="16" s="1"/>
  <c r="J75" i="30"/>
  <c r="K69" i="30" s="1"/>
  <c r="N40" i="14"/>
  <c r="M50" i="3" s="1"/>
  <c r="M57" i="3" s="1"/>
  <c r="M57" i="1" s="1"/>
  <c r="L50" i="3"/>
  <c r="L57" i="3" s="1"/>
  <c r="L57" i="1" s="1"/>
  <c r="L67" i="32"/>
  <c r="K74" i="32"/>
  <c r="K42" i="32" s="1"/>
  <c r="K49" i="32" s="1"/>
  <c r="K52" i="32" s="1"/>
  <c r="K54" i="32" s="1"/>
  <c r="J34" i="3"/>
  <c r="K75" i="32"/>
  <c r="K76" i="32" s="1"/>
  <c r="M13" i="32"/>
  <c r="M27" i="32" s="1"/>
  <c r="H15" i="16"/>
  <c r="J96" i="30"/>
  <c r="L28" i="3" l="1"/>
  <c r="L31" i="3" s="1"/>
  <c r="E36" i="16"/>
  <c r="E19" i="16"/>
  <c r="K79" i="32"/>
  <c r="K80" i="32" s="1"/>
  <c r="K81" i="32" s="1"/>
  <c r="F9" i="16" s="1"/>
  <c r="F10" i="16" s="1"/>
  <c r="J8" i="3"/>
  <c r="K72" i="30"/>
  <c r="K95" i="30" s="1"/>
  <c r="L73" i="32"/>
  <c r="J42" i="3"/>
  <c r="J47" i="3" s="1"/>
  <c r="J85" i="30"/>
  <c r="M66" i="32"/>
  <c r="M32" i="32" l="1"/>
  <c r="M38" i="32" s="1"/>
  <c r="M67" i="32" s="1"/>
  <c r="K75" i="30"/>
  <c r="M28" i="3" s="1"/>
  <c r="K85" i="30" s="1"/>
  <c r="F12" i="16"/>
  <c r="F13" i="16" s="1"/>
  <c r="F11" i="16"/>
  <c r="N13" i="32"/>
  <c r="N27" i="32" s="1"/>
  <c r="I15" i="16"/>
  <c r="K96" i="30"/>
  <c r="J58" i="3"/>
  <c r="J63" i="3" s="1"/>
  <c r="L53" i="32"/>
  <c r="J18" i="3"/>
  <c r="N32" i="32" l="1"/>
  <c r="N38" i="32" s="1"/>
  <c r="N67" i="32" s="1"/>
  <c r="M31" i="3"/>
  <c r="N66" i="32"/>
  <c r="J62" i="3"/>
  <c r="J32" i="3"/>
  <c r="J59" i="3" s="1"/>
  <c r="L78" i="32"/>
  <c r="L64" i="32"/>
  <c r="L70" i="32" s="1"/>
  <c r="L72" i="32" s="1"/>
  <c r="F16" i="16" l="1"/>
  <c r="F18" i="16" s="1"/>
  <c r="L74" i="32"/>
  <c r="L42" i="32" s="1"/>
  <c r="L49" i="32" s="1"/>
  <c r="L52" i="32" s="1"/>
  <c r="L54" i="32" s="1"/>
  <c r="K34" i="3"/>
  <c r="L75" i="32"/>
  <c r="L76" i="32" s="1"/>
  <c r="F36" i="16" l="1"/>
  <c r="F19" i="16"/>
  <c r="L79" i="32"/>
  <c r="L80" i="32" s="1"/>
  <c r="L81" i="32" s="1"/>
  <c r="G9" i="16" s="1"/>
  <c r="G10" i="16" s="1"/>
  <c r="K8" i="3"/>
  <c r="M73" i="32"/>
  <c r="K42" i="3"/>
  <c r="K47" i="3" s="1"/>
  <c r="G12" i="16" l="1"/>
  <c r="G13" i="16" s="1"/>
  <c r="G11" i="16"/>
  <c r="M53" i="32"/>
  <c r="K18" i="3"/>
  <c r="K58" i="3"/>
  <c r="K63" i="3" l="1"/>
  <c r="M78" i="32"/>
  <c r="M64" i="32"/>
  <c r="M70" i="32" s="1"/>
  <c r="M72" i="32" s="1"/>
  <c r="K62" i="3"/>
  <c r="K32" i="3"/>
  <c r="K59" i="3" s="1"/>
  <c r="G16" i="16" l="1"/>
  <c r="G18" i="16" s="1"/>
  <c r="M74" i="32"/>
  <c r="M42" i="32" s="1"/>
  <c r="M49" i="32" s="1"/>
  <c r="M52" i="32" s="1"/>
  <c r="M54" i="32" s="1"/>
  <c r="L34" i="3"/>
  <c r="M75" i="32"/>
  <c r="M76" i="32" s="1"/>
  <c r="G36" i="16" l="1"/>
  <c r="G19" i="16"/>
  <c r="M79" i="32"/>
  <c r="M80" i="32" s="1"/>
  <c r="M81" i="32" s="1"/>
  <c r="H9" i="16" s="1"/>
  <c r="H10" i="16" s="1"/>
  <c r="L8" i="3"/>
  <c r="N73" i="32"/>
  <c r="L42" i="3"/>
  <c r="L47" i="3" s="1"/>
  <c r="H12" i="16" l="1"/>
  <c r="H13" i="16" s="1"/>
  <c r="H11" i="16"/>
  <c r="N53" i="32"/>
  <c r="L18" i="3"/>
  <c r="L58" i="3"/>
  <c r="L62" i="3" l="1"/>
  <c r="L32" i="3"/>
  <c r="L59" i="3" s="1"/>
  <c r="L63" i="3"/>
  <c r="N78" i="32"/>
  <c r="N64" i="32"/>
  <c r="N70" i="32" s="1"/>
  <c r="N72" i="32" s="1"/>
  <c r="H16" i="16" l="1"/>
  <c r="H18" i="16" s="1"/>
  <c r="M34" i="3"/>
  <c r="M42" i="3" s="1"/>
  <c r="M47" i="3" s="1"/>
  <c r="N74" i="32"/>
  <c r="N42" i="32" s="1"/>
  <c r="N49" i="32" s="1"/>
  <c r="N52" i="32" s="1"/>
  <c r="N54" i="32" s="1"/>
  <c r="N75" i="32"/>
  <c r="N76" i="32" s="1"/>
  <c r="H19" i="16" l="1"/>
  <c r="H36" i="16"/>
  <c r="M8" i="3"/>
  <c r="M18" i="3" s="1"/>
  <c r="N79" i="32"/>
  <c r="N80" i="32" s="1"/>
  <c r="N81" i="32" s="1"/>
  <c r="I9" i="16" s="1"/>
  <c r="I10" i="16" s="1"/>
  <c r="M58" i="3"/>
  <c r="I12" i="16" l="1"/>
  <c r="I13" i="16" s="1"/>
  <c r="I11" i="16"/>
  <c r="M63" i="3"/>
  <c r="M62" i="3"/>
  <c r="I16" i="16" s="1"/>
  <c r="M32" i="3"/>
  <c r="M59" i="3" s="1"/>
  <c r="N67" i="3" s="1"/>
  <c r="I18" i="16" l="1"/>
  <c r="D22" i="16" l="1"/>
  <c r="I19" i="16"/>
  <c r="I36" i="16"/>
  <c r="E22" i="16" l="1"/>
  <c r="D38" i="16"/>
  <c r="F22" i="16" l="1"/>
  <c r="E38" i="16"/>
  <c r="G22" i="16" l="1"/>
  <c r="F38" i="16"/>
  <c r="H22" i="16" l="1"/>
  <c r="G38" i="16"/>
  <c r="I22" i="16" l="1"/>
  <c r="H38" i="16"/>
  <c r="J22" i="16" l="1"/>
  <c r="I38" i="16"/>
  <c r="K22" i="16" l="1"/>
  <c r="J38" i="16"/>
  <c r="L22" i="16" l="1"/>
  <c r="K38" i="16"/>
  <c r="M22" i="16" l="1"/>
  <c r="F41" i="16" s="1"/>
  <c r="L38" i="16"/>
  <c r="M38" i="16" l="1"/>
  <c r="F40" i="16" s="1"/>
  <c r="F42" i="16" s="1"/>
  <c r="F45" i="16" l="1"/>
  <c r="D17" i="23"/>
  <c r="F47" i="16" l="1"/>
  <c r="C52" i="16" s="1"/>
  <c r="D20" i="23"/>
  <c r="D21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C12" authorId="0" shapeId="0" xr:uid="{00000000-0006-0000-0100-000001000000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132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绝大部分为阿胶等产品的销售，也包括其它生物制药、医疗器械产品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聂国娜</author>
  </authors>
  <commentList>
    <comment ref="K13" authorId="0" shapeId="0" xr:uid="{CEF619D4-AD78-4488-A123-6D6FAD2E9916}">
      <text>
        <r>
          <rPr>
            <b/>
            <sz val="11"/>
            <color indexed="81"/>
            <rFont val="宋体"/>
            <family val="3"/>
            <charset val="134"/>
          </rPr>
          <t>此为2年CAGR</t>
        </r>
      </text>
    </comment>
  </commentList>
</comments>
</file>

<file path=xl/sharedStrings.xml><?xml version="1.0" encoding="utf-8"?>
<sst xmlns="http://schemas.openxmlformats.org/spreadsheetml/2006/main" count="1235" uniqueCount="764">
  <si>
    <t>一、EXCEL循环计算功能说明</t>
  </si>
  <si>
    <t>以WORD2016为例，依次点击文件-选项-公式-启用迭代计算，打开EXCEL循环计算功能。</t>
  </si>
  <si>
    <t>二、数据输入和引用说明：</t>
  </si>
  <si>
    <t>=</t>
  </si>
  <si>
    <t>输入数字假设，可以变动</t>
  </si>
  <si>
    <t>公式或给定数字，无需变动</t>
  </si>
  <si>
    <t>模型的批注</t>
  </si>
  <si>
    <t>三、估值模版各sheet颜色标记说明：</t>
  </si>
  <si>
    <t>关键假设</t>
  </si>
  <si>
    <t>相关sheet颜色</t>
  </si>
  <si>
    <t>蓝色</t>
  </si>
  <si>
    <t>估值过程</t>
  </si>
  <si>
    <t>紫色</t>
  </si>
  <si>
    <t>结果输出</t>
  </si>
  <si>
    <t>橙色</t>
  </si>
  <si>
    <t>四、估值模版运行过程说明：</t>
  </si>
  <si>
    <t>1、“资产负债表”、“利润表”的会计科目和历史数据根据公司定期报告数据做适当调整而得；</t>
  </si>
  <si>
    <t>2、结合以上历史数据及分析判断确定各预测假设参数；</t>
  </si>
  <si>
    <t>3、根据以上假设参数，生成“资产负债表”和“利润表”的预测数据；</t>
  </si>
  <si>
    <t>4、根据设定的融资假设，预测具体的融资计划，并对“资产负债表”及“利润表”进行迭代优化计算；</t>
  </si>
  <si>
    <t>5、根据迭代后的“资产负债表”和“利润表”，生成“现金流量表”；</t>
  </si>
  <si>
    <t>6、利用最终预测的三张表格进行DCF或者PE等模型估值。</t>
  </si>
  <si>
    <r>
      <rPr>
        <b/>
        <sz val="9"/>
        <color theme="1"/>
        <rFont val="Arial"/>
        <family val="2"/>
      </rPr>
      <t>(</t>
    </r>
    <r>
      <rPr>
        <b/>
        <sz val="9"/>
        <color theme="1"/>
        <rFont val="宋体"/>
        <family val="3"/>
        <charset val="134"/>
      </rPr>
      <t>万元</t>
    </r>
    <r>
      <rPr>
        <b/>
        <sz val="9"/>
        <color theme="1"/>
        <rFont val="Arial"/>
        <family val="2"/>
      </rPr>
      <t>)</t>
    </r>
  </si>
  <si>
    <t>2014A</t>
  </si>
  <si>
    <t>2015A</t>
  </si>
  <si>
    <t>2016A</t>
  </si>
  <si>
    <t>2017A</t>
  </si>
  <si>
    <t>2018A</t>
  </si>
  <si>
    <t>2019E</t>
  </si>
  <si>
    <t>2020E</t>
  </si>
  <si>
    <t>2021E</t>
  </si>
  <si>
    <t>2022E</t>
  </si>
  <si>
    <t>2023E</t>
  </si>
  <si>
    <t>营业总收入</t>
  </si>
  <si>
    <t xml:space="preserve">                YoY</t>
  </si>
  <si>
    <t>营业成本</t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</si>
  <si>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坚果</t>
    </r>
  </si>
  <si>
    <r>
      <rPr>
        <sz val="9"/>
        <color theme="1"/>
        <rFont val="Arial"/>
        <family val="2"/>
      </rPr>
      <t xml:space="preserve">                </t>
    </r>
    <r>
      <rPr>
        <sz val="9"/>
        <color theme="1"/>
        <rFont val="宋体"/>
        <family val="3"/>
        <charset val="134"/>
      </rPr>
      <t>收入</t>
    </r>
  </si>
  <si>
    <r>
      <rPr>
        <sz val="9"/>
        <color theme="1"/>
        <rFont val="Arial"/>
        <family val="2"/>
      </rPr>
      <t xml:space="preserve">                </t>
    </r>
    <r>
      <rPr>
        <sz val="9"/>
        <color theme="1"/>
        <rFont val="宋体"/>
        <family val="3"/>
        <charset val="134"/>
      </rPr>
      <t>占比</t>
    </r>
  </si>
  <si>
    <r>
      <rPr>
        <sz val="9"/>
        <color theme="1"/>
        <rFont val="Arial"/>
        <family val="2"/>
      </rPr>
      <t xml:space="preserve">                </t>
    </r>
    <r>
      <rPr>
        <sz val="9"/>
        <color theme="1"/>
        <rFont val="宋体"/>
        <family val="3"/>
        <charset val="134"/>
      </rPr>
      <t>成本</t>
    </r>
  </si>
  <si>
    <r>
      <rPr>
        <sz val="9"/>
        <color theme="1"/>
        <rFont val="Arial"/>
        <family val="2"/>
      </rPr>
      <t xml:space="preserve">                </t>
    </r>
    <r>
      <rPr>
        <sz val="9"/>
        <color theme="1"/>
        <rFont val="宋体"/>
        <family val="3"/>
        <charset val="134"/>
      </rPr>
      <t>毛利</t>
    </r>
  </si>
  <si>
    <r>
      <rPr>
        <sz val="9"/>
        <color theme="1"/>
        <rFont val="Arial"/>
        <family val="2"/>
      </rPr>
      <t xml:space="preserve">                </t>
    </r>
    <r>
      <rPr>
        <sz val="9"/>
        <color theme="1"/>
        <rFont val="宋体"/>
        <family val="3"/>
        <charset val="134"/>
      </rPr>
      <t>毛利率</t>
    </r>
    <r>
      <rPr>
        <sz val="9"/>
        <color theme="1"/>
        <rFont val="Arial"/>
        <family val="2"/>
      </rPr>
      <t>(%)</t>
    </r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</si>
  <si>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零食</t>
    </r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</si>
  <si>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干果</t>
    </r>
    <r>
      <rPr>
        <sz val="9"/>
        <color theme="1"/>
        <rFont val="Arial"/>
        <family val="2"/>
      </rPr>
      <t xml:space="preserve"> </t>
    </r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</si>
  <si>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果干</t>
    </r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</si>
  <si>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花茶</t>
    </r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</si>
  <si>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礼盒</t>
    </r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</si>
  <si>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其他业务</t>
    </r>
  </si>
  <si>
    <t xml:space="preserve">                收入</t>
  </si>
  <si>
    <t xml:space="preserve">                占比</t>
  </si>
  <si>
    <t xml:space="preserve">                成本</t>
  </si>
  <si>
    <t xml:space="preserve">                毛利</t>
  </si>
  <si>
    <t xml:space="preserve">                毛利率(%)</t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</si>
  <si>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其他主营业务</t>
    </r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</si>
  <si>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内部抵销</t>
    </r>
  </si>
  <si>
    <t>分渠道</t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</si>
  <si>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线上</t>
    </r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</si>
  <si>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线下</t>
    </r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</si>
  <si>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其中：（非公开信息）</t>
    </r>
  </si>
  <si>
    <r>
      <rPr>
        <sz val="9"/>
        <color theme="1"/>
        <rFont val="Arial"/>
        <family val="2"/>
      </rPr>
      <t xml:space="preserve">               1</t>
    </r>
    <r>
      <rPr>
        <sz val="9"/>
        <color theme="1"/>
        <rFont val="宋体"/>
        <family val="3"/>
        <charset val="134"/>
      </rPr>
      <t>）直营</t>
    </r>
  </si>
  <si>
    <r>
      <rPr>
        <sz val="9"/>
        <color theme="1"/>
        <rFont val="Arial"/>
        <family val="2"/>
      </rPr>
      <t xml:space="preserve">                </t>
    </r>
    <r>
      <rPr>
        <sz val="9"/>
        <color theme="1"/>
        <rFont val="宋体"/>
        <family val="3"/>
        <charset val="134"/>
      </rPr>
      <t>门店数</t>
    </r>
  </si>
  <si>
    <r>
      <rPr>
        <sz val="9"/>
        <color theme="1"/>
        <rFont val="Arial"/>
        <family val="2"/>
      </rPr>
      <t xml:space="preserve">                        </t>
    </r>
    <r>
      <rPr>
        <sz val="9"/>
        <color theme="1"/>
        <rFont val="宋体"/>
        <family val="3"/>
        <charset val="134"/>
      </rPr>
      <t>其中：当年新增门店</t>
    </r>
  </si>
  <si>
    <r>
      <rPr>
        <sz val="9"/>
        <color theme="1"/>
        <rFont val="Arial"/>
        <family val="2"/>
      </rPr>
      <t xml:space="preserve">                </t>
    </r>
    <r>
      <rPr>
        <sz val="9"/>
        <color theme="1"/>
        <rFont val="宋体"/>
        <family val="3"/>
        <charset val="134"/>
      </rPr>
      <t>成熟门店收入（万元）</t>
    </r>
  </si>
  <si>
    <r>
      <rPr>
        <sz val="9"/>
        <color theme="1"/>
        <rFont val="Arial"/>
        <family val="2"/>
      </rPr>
      <t xml:space="preserve">                </t>
    </r>
    <r>
      <rPr>
        <sz val="9"/>
        <color theme="1"/>
        <rFont val="宋体"/>
        <family val="3"/>
        <charset val="134"/>
      </rPr>
      <t>平均单店收入（万元）</t>
    </r>
  </si>
  <si>
    <r>
      <rPr>
        <sz val="9"/>
        <color theme="1"/>
        <rFont val="Arial"/>
        <family val="2"/>
      </rPr>
      <t xml:space="preserve">               2</t>
    </r>
    <r>
      <rPr>
        <sz val="9"/>
        <color theme="1"/>
        <rFont val="宋体"/>
        <family val="3"/>
        <charset val="134"/>
      </rPr>
      <t>）加盟</t>
    </r>
  </si>
  <si>
    <r>
      <rPr>
        <sz val="9"/>
        <color theme="1"/>
        <rFont val="Arial"/>
        <family val="2"/>
      </rPr>
      <t xml:space="preserve">               3</t>
    </r>
    <r>
      <rPr>
        <sz val="9"/>
        <color theme="1"/>
        <rFont val="宋体"/>
        <family val="3"/>
        <charset val="134"/>
      </rPr>
      <t>）零售通</t>
    </r>
  </si>
  <si>
    <r>
      <rPr>
        <sz val="9"/>
        <color theme="1"/>
        <rFont val="Arial"/>
        <family val="2"/>
      </rPr>
      <t xml:space="preserve">               4</t>
    </r>
    <r>
      <rPr>
        <sz val="9"/>
        <color theme="1"/>
        <rFont val="宋体"/>
        <family val="3"/>
        <charset val="134"/>
      </rPr>
      <t>）大客户团购</t>
    </r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</si>
  <si>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内部抵销</t>
    </r>
    <r>
      <rPr>
        <sz val="9"/>
        <color theme="1"/>
        <rFont val="Arial"/>
        <family val="2"/>
      </rPr>
      <t>(</t>
    </r>
    <r>
      <rPr>
        <sz val="9"/>
        <color theme="1"/>
        <rFont val="宋体"/>
        <family val="3"/>
        <charset val="134"/>
      </rPr>
      <t>地区</t>
    </r>
    <r>
      <rPr>
        <sz val="9"/>
        <color theme="1"/>
        <rFont val="Arial"/>
        <family val="2"/>
      </rPr>
      <t>)</t>
    </r>
  </si>
  <si>
    <t>收入贡献（分产品）</t>
  </si>
  <si>
    <r>
      <rPr>
        <sz val="9"/>
        <color theme="1"/>
        <rFont val="Arial"/>
        <family val="2"/>
      </rPr>
      <t xml:space="preserve">        </t>
    </r>
    <r>
      <rPr>
        <sz val="9"/>
        <color theme="1"/>
        <rFont val="宋体"/>
        <family val="3"/>
        <charset val="134"/>
      </rPr>
      <t>干果</t>
    </r>
  </si>
  <si>
    <t xml:space="preserve">        Sum</t>
  </si>
  <si>
    <t>关联渠道销售情况（以华润为主）</t>
  </si>
  <si>
    <t xml:space="preserve">  YoY-关联渠道收入</t>
  </si>
  <si>
    <t xml:space="preserve">  YoY-营业总收入</t>
  </si>
  <si>
    <t xml:space="preserve">  % 营业总收入</t>
  </si>
  <si>
    <t>非关联渠道销售情况</t>
  </si>
  <si>
    <t xml:space="preserve">  YoY-非关联渠道收入</t>
  </si>
  <si>
    <r>
      <rPr>
        <b/>
        <sz val="9"/>
        <color theme="1"/>
        <rFont val="宋体"/>
        <family val="3"/>
        <charset val="134"/>
      </rPr>
      <t>利润表</t>
    </r>
    <r>
      <rPr>
        <b/>
        <sz val="9"/>
        <color theme="1"/>
        <rFont val="Arial"/>
        <family val="2"/>
      </rPr>
      <t>(</t>
    </r>
    <r>
      <rPr>
        <b/>
        <sz val="9"/>
        <color theme="1"/>
        <rFont val="宋体"/>
        <family val="3"/>
        <charset val="134"/>
      </rPr>
      <t>万元</t>
    </r>
    <r>
      <rPr>
        <b/>
        <sz val="9"/>
        <color theme="1"/>
        <rFont val="Arial"/>
        <family val="2"/>
      </rPr>
      <t>)</t>
    </r>
  </si>
  <si>
    <t>2014-12-31</t>
  </si>
  <si>
    <t>2015-12-31</t>
  </si>
  <si>
    <t>2016-12-31</t>
  </si>
  <si>
    <t>2017-12-31</t>
  </si>
  <si>
    <t>2018-12-31</t>
  </si>
  <si>
    <t>报告期</t>
  </si>
  <si>
    <t>年报</t>
  </si>
  <si>
    <t>报表类型</t>
  </si>
  <si>
    <t>合并报表</t>
  </si>
  <si>
    <t>　　营业收入</t>
  </si>
  <si>
    <t>　　其他类金融业务收入</t>
  </si>
  <si>
    <t>　　　　利息收入</t>
  </si>
  <si>
    <t>　　　　已赚保费</t>
  </si>
  <si>
    <t>　　　　手续费及佣金收入</t>
  </si>
  <si>
    <t>营业总成本</t>
  </si>
  <si>
    <t>　　营业成本</t>
  </si>
  <si>
    <t>　　　　产品</t>
  </si>
  <si>
    <t>　　　　　　坚果</t>
  </si>
  <si>
    <t>　　　　　　零食</t>
  </si>
  <si>
    <t>　　　　　　礼盒</t>
  </si>
  <si>
    <t>　　　　　　果干</t>
  </si>
  <si>
    <t>　　　　　　干果</t>
  </si>
  <si>
    <t>　　　　　　花茶</t>
  </si>
  <si>
    <t>　　　　　　其他业务</t>
  </si>
  <si>
    <t>　　　　　　其他主营业务</t>
  </si>
  <si>
    <t>　　　　地区</t>
  </si>
  <si>
    <t>　　　　　　中国大陆</t>
  </si>
  <si>
    <t>　　　　　　　　华东</t>
  </si>
  <si>
    <t>　　　　　　　　华南</t>
  </si>
  <si>
    <t>　　　　　　　　华中</t>
  </si>
  <si>
    <t>　　　　　　　　华北</t>
  </si>
  <si>
    <t>　　　　　　　　西南</t>
  </si>
  <si>
    <t>　　　　　　　　东北</t>
  </si>
  <si>
    <t>　　　　　　　　西北</t>
  </si>
  <si>
    <t>　　　　　　其他业务(地区)</t>
  </si>
  <si>
    <t>　　税金及附加</t>
  </si>
  <si>
    <t>　　销售费用</t>
  </si>
  <si>
    <t>　　管理费用</t>
  </si>
  <si>
    <t>　　研发费用</t>
  </si>
  <si>
    <t>　　财务费用</t>
  </si>
  <si>
    <t>　　　　其中：利息费用</t>
  </si>
  <si>
    <t>　　　　　　　减：利息收入</t>
  </si>
  <si>
    <t>　　其他业务成本(金融类)</t>
  </si>
  <si>
    <t>　　　　利息支出</t>
  </si>
  <si>
    <t>　　　　手续费及佣金支出</t>
  </si>
  <si>
    <t>　　　　退保金</t>
  </si>
  <si>
    <t>　　　　赔付支出净额</t>
  </si>
  <si>
    <t>　　　　提取保险合同准备金净额</t>
  </si>
  <si>
    <t>　　　　保单红利支出</t>
  </si>
  <si>
    <t>　　　　分保费用</t>
  </si>
  <si>
    <t>　　加：其他收益</t>
  </si>
  <si>
    <t>　　投资净收益</t>
  </si>
  <si>
    <t>　　　　其中：对联营企业和合营企业的投资收益</t>
  </si>
  <si>
    <t>　　　　　　　　以摊余成本计量的金融资产终止确认收益</t>
  </si>
  <si>
    <t>　　净敞口套期收益</t>
  </si>
  <si>
    <t>　　公允价值变动净收益</t>
  </si>
  <si>
    <t>　　资产减值损失</t>
  </si>
  <si>
    <t>　　信用减值损失</t>
  </si>
  <si>
    <t>　　资产处置收益</t>
  </si>
  <si>
    <t>　　汇兑净收益</t>
  </si>
  <si>
    <t>　　加：营业利润差额(特殊报表科目)</t>
  </si>
  <si>
    <t>　　　　营业利润差额(合计平衡项目)</t>
  </si>
  <si>
    <t>营业利润</t>
  </si>
  <si>
    <t>　　加：营业外收入</t>
  </si>
  <si>
    <t>　　减：营业外支出</t>
  </si>
  <si>
    <t>　　　　其中：非流动资产处置净损失</t>
  </si>
  <si>
    <t>　　加：利润总额差额(特殊报表科目)</t>
  </si>
  <si>
    <t>　　　　利润总额差额(合计平衡项目)</t>
  </si>
  <si>
    <t>利润总额</t>
  </si>
  <si>
    <t>　　减：所得税</t>
  </si>
  <si>
    <t>　　加：未确认的投资损失</t>
  </si>
  <si>
    <t>　　加：净利润差额(特殊报表科目)</t>
  </si>
  <si>
    <t>　　　　净利润差额(合计平衡项目)</t>
  </si>
  <si>
    <t>净利润</t>
  </si>
  <si>
    <t>　　持续经营净利润</t>
  </si>
  <si>
    <t>　　终止经营净利润</t>
  </si>
  <si>
    <t>　　减：少数股东损益</t>
  </si>
  <si>
    <t>　　归属于母公司所有者的净利润</t>
  </si>
  <si>
    <t>　　加：其他综合收益</t>
  </si>
  <si>
    <t>综合收益总额</t>
  </si>
  <si>
    <t>　　减：归属于少数股东的综合收益总额</t>
  </si>
  <si>
    <t>　　归属于母公司普通股东综合收益总额</t>
  </si>
  <si>
    <t>每股收益：</t>
  </si>
  <si>
    <t/>
  </si>
  <si>
    <t>　　基本每股收益</t>
  </si>
  <si>
    <t>　　稀释每股收益</t>
  </si>
  <si>
    <r>
      <rPr>
        <sz val="9"/>
        <color theme="1"/>
        <rFont val="宋体"/>
        <family val="3"/>
        <charset val="134"/>
      </rPr>
      <t>营业税金及附加</t>
    </r>
    <r>
      <rPr>
        <sz val="9"/>
        <color theme="1"/>
        <rFont val="Arial"/>
        <family val="2"/>
      </rPr>
      <t>/</t>
    </r>
    <r>
      <rPr>
        <sz val="9"/>
        <color theme="1"/>
        <rFont val="宋体"/>
        <family val="3"/>
        <charset val="134"/>
      </rPr>
      <t>营业收入</t>
    </r>
  </si>
  <si>
    <r>
      <rPr>
        <sz val="9"/>
        <color theme="1"/>
        <rFont val="宋体"/>
        <family val="3"/>
        <charset val="134"/>
      </rPr>
      <t>销售费用率</t>
    </r>
  </si>
  <si>
    <t>管理费用率</t>
  </si>
  <si>
    <t>研发费用率</t>
  </si>
  <si>
    <t>财务费用率</t>
  </si>
  <si>
    <t>资产减值损失/营业收入</t>
  </si>
  <si>
    <t>有效税率</t>
  </si>
  <si>
    <t>营业收入-YoY</t>
  </si>
  <si>
    <t>归母净利润-YoY</t>
  </si>
  <si>
    <t>毛利率</t>
  </si>
  <si>
    <t>毛销差</t>
  </si>
  <si>
    <t>归母净利润率</t>
  </si>
  <si>
    <t>2017-06-30</t>
  </si>
  <si>
    <t>2019-03-31</t>
  </si>
  <si>
    <t>2019-06-30</t>
  </si>
  <si>
    <t>2019-09-30</t>
  </si>
  <si>
    <t>中报</t>
  </si>
  <si>
    <t>一季报</t>
  </si>
  <si>
    <t>三季报</t>
  </si>
  <si>
    <t>流动资产：</t>
  </si>
  <si>
    <t>　　货币资金</t>
  </si>
  <si>
    <t>　　交易性金融资产</t>
  </si>
  <si>
    <t>　　衍生金融资产</t>
  </si>
  <si>
    <t>　　应收票据</t>
  </si>
  <si>
    <t>　　应收账款</t>
  </si>
  <si>
    <t>　　应收款项融资</t>
  </si>
  <si>
    <t>　　预付款项</t>
  </si>
  <si>
    <t>　　其他应收款(合计)</t>
  </si>
  <si>
    <t>　　　　应收股利</t>
  </si>
  <si>
    <t>　　　　应收利息</t>
  </si>
  <si>
    <t>　　　　其他应收款</t>
  </si>
  <si>
    <t>　　买入返售金融资产</t>
  </si>
  <si>
    <t>　　存货</t>
  </si>
  <si>
    <t>　　其中：消耗性生物资产</t>
  </si>
  <si>
    <t>　　合同资产</t>
  </si>
  <si>
    <t>　　划分为持有待售的资产</t>
  </si>
  <si>
    <t>　　一年内到期的非流动资产</t>
  </si>
  <si>
    <t>　　待摊费用</t>
  </si>
  <si>
    <t>　　其他流动资产</t>
  </si>
  <si>
    <t>　　其他金融类流动资产</t>
  </si>
  <si>
    <t>　　流动资产差额(特殊报表科目)</t>
  </si>
  <si>
    <t>　　流动资产差额(合计平衡项目)</t>
  </si>
  <si>
    <t>　　流动资产合计</t>
  </si>
  <si>
    <t>非流动资产：</t>
  </si>
  <si>
    <t>　　发放贷款及垫款</t>
  </si>
  <si>
    <t>　　以公允价值且其变动计入其他综合收益的金融资产</t>
  </si>
  <si>
    <t>　　以摊余成本计量的金融资产</t>
  </si>
  <si>
    <t>　　债权投资</t>
  </si>
  <si>
    <t>　　其他债权投资</t>
  </si>
  <si>
    <t>　　可供出售金融资产</t>
  </si>
  <si>
    <t>　　其他权益工具投资</t>
  </si>
  <si>
    <t>　　持有至到期投资</t>
  </si>
  <si>
    <t>　　其他非流动金融资产</t>
  </si>
  <si>
    <t>　　长期应收款</t>
  </si>
  <si>
    <t>　　长期股权投资</t>
  </si>
  <si>
    <t>　　投资性房地产</t>
  </si>
  <si>
    <t>　　固定资产(合计)</t>
  </si>
  <si>
    <t>　　　　固定资产</t>
  </si>
  <si>
    <t>　　　　固定资产清理</t>
  </si>
  <si>
    <t>　　在建工程(合计)</t>
  </si>
  <si>
    <t>　　　　在建工程</t>
  </si>
  <si>
    <t>　　　　工程物资</t>
  </si>
  <si>
    <t>　　生产性生物资产</t>
  </si>
  <si>
    <t>　　油气资产</t>
  </si>
  <si>
    <t>　　使用权资产</t>
  </si>
  <si>
    <t>　　无形资产</t>
  </si>
  <si>
    <t>　　开发支出</t>
  </si>
  <si>
    <t>　　商誉</t>
  </si>
  <si>
    <t>　　长期待摊费用</t>
  </si>
  <si>
    <t>　　递延所得税资产</t>
  </si>
  <si>
    <t>　　其他非流动资产</t>
  </si>
  <si>
    <t>　　非流动资产差额(特殊报表科目)</t>
  </si>
  <si>
    <t>　　非流动资产差额(合计平衡项目)</t>
  </si>
  <si>
    <t>　　非流动资产合计</t>
  </si>
  <si>
    <t>资产差额(特殊报表科目)</t>
  </si>
  <si>
    <t>资产差额(合计平衡项目)</t>
  </si>
  <si>
    <t>资产总计</t>
  </si>
  <si>
    <t>流动负债：</t>
  </si>
  <si>
    <t>　　短期借款</t>
  </si>
  <si>
    <t>　　交易性金融负债</t>
  </si>
  <si>
    <t>　　衍生金融负债</t>
  </si>
  <si>
    <t>　　应付票据</t>
  </si>
  <si>
    <t>　　应付账款</t>
  </si>
  <si>
    <t>　　预收款项</t>
  </si>
  <si>
    <t>　　合同负债</t>
  </si>
  <si>
    <t>　　应付手续费及佣金</t>
  </si>
  <si>
    <t>　　应付职工薪酬</t>
  </si>
  <si>
    <t>　　应交税费</t>
  </si>
  <si>
    <t>　　其他应付款(合计)</t>
  </si>
  <si>
    <t>　　　　应付利息</t>
  </si>
  <si>
    <t>　　　　应付股利</t>
  </si>
  <si>
    <t>　　　　其他应付款</t>
  </si>
  <si>
    <t>　　划分为持有待售的负债</t>
  </si>
  <si>
    <t>　　一年内到期的非流动负债</t>
  </si>
  <si>
    <t>　　预提费用</t>
  </si>
  <si>
    <t>　　递延收益-流动负债</t>
  </si>
  <si>
    <t>　　应付短期债券</t>
  </si>
  <si>
    <t>　　其他流动负债</t>
  </si>
  <si>
    <t>　　其他金融类流动负债</t>
  </si>
  <si>
    <t>　　流动负债差额(特殊报表科目)</t>
  </si>
  <si>
    <t>　　流动负债差额(合计平衡项目)</t>
  </si>
  <si>
    <t>　　流动负债合计</t>
  </si>
  <si>
    <t>非流动负债：</t>
  </si>
  <si>
    <t>　　长期借款</t>
  </si>
  <si>
    <t>　　应付债券</t>
  </si>
  <si>
    <t>　　租赁负债</t>
  </si>
  <si>
    <t>　　长期应付款(合计)</t>
  </si>
  <si>
    <t>　　　　长期应付款</t>
  </si>
  <si>
    <t>　　　　专项应付款</t>
  </si>
  <si>
    <t>　　长期应付职工薪酬</t>
  </si>
  <si>
    <t>　　预计负债</t>
  </si>
  <si>
    <t>　　递延所得税负债</t>
  </si>
  <si>
    <t>　　递延收益-非流动负债</t>
  </si>
  <si>
    <t>　　其他非流动负债</t>
  </si>
  <si>
    <t>　　非流动负债差额(特殊报表科目)</t>
  </si>
  <si>
    <t>　　非流动负债差额(合计平衡项目)</t>
  </si>
  <si>
    <t>　　非流动负债合计</t>
  </si>
  <si>
    <t>　　负债差额(特殊报表科目)</t>
  </si>
  <si>
    <t>　　负债差额(合计平衡项目)</t>
  </si>
  <si>
    <t>　　负债合计</t>
  </si>
  <si>
    <t>所有者权益(或股东权益)：</t>
  </si>
  <si>
    <t>　　实收资本(或股本)</t>
  </si>
  <si>
    <t>　　其它权益工具</t>
  </si>
  <si>
    <t>　　　　其中：优先股</t>
  </si>
  <si>
    <t>　　　　　　　永续债</t>
  </si>
  <si>
    <t>　　资本公积金</t>
  </si>
  <si>
    <t>　　减：库存股</t>
  </si>
  <si>
    <t>　　其它综合收益</t>
  </si>
  <si>
    <t>　　专项储备</t>
  </si>
  <si>
    <t>　　盈余公积金</t>
  </si>
  <si>
    <t>　　一般风险准备</t>
  </si>
  <si>
    <t>　　未分配利润</t>
  </si>
  <si>
    <t>　　外币报表折算差额</t>
  </si>
  <si>
    <t>　　未确认的投资损失</t>
  </si>
  <si>
    <t>　　股东权益差额(特殊报表科目)</t>
  </si>
  <si>
    <t>　　股权权益差额(合计平衡项目)</t>
  </si>
  <si>
    <t>　　归属于母公司所有者权益合计</t>
  </si>
  <si>
    <t>　　少数股东权益</t>
  </si>
  <si>
    <t>　　所有者权益合计</t>
  </si>
  <si>
    <t>负债及股东权益差额(特殊报表项目)</t>
  </si>
  <si>
    <t>负债及股东权益差额(合计平衡项目)</t>
  </si>
  <si>
    <t>负债和所有者权益总计</t>
  </si>
  <si>
    <r>
      <rPr>
        <b/>
        <sz val="9"/>
        <color theme="1"/>
        <rFont val="宋体"/>
        <family val="3"/>
        <charset val="134"/>
      </rPr>
      <t>现金流量表</t>
    </r>
    <r>
      <rPr>
        <b/>
        <sz val="9"/>
        <color theme="1"/>
        <rFont val="Arial"/>
        <family val="2"/>
      </rPr>
      <t>(ORIG,</t>
    </r>
    <r>
      <rPr>
        <b/>
        <sz val="9"/>
        <color theme="1"/>
        <rFont val="宋体"/>
        <family val="3"/>
        <charset val="134"/>
      </rPr>
      <t>万元</t>
    </r>
    <r>
      <rPr>
        <b/>
        <sz val="9"/>
        <color theme="1"/>
        <rFont val="Arial"/>
        <family val="2"/>
      </rPr>
      <t>)</t>
    </r>
  </si>
  <si>
    <t>2018-03-31</t>
  </si>
  <si>
    <t>2018-06-30</t>
  </si>
  <si>
    <t>2018-09-30</t>
  </si>
  <si>
    <t>经营活动产生的现金流量：</t>
  </si>
  <si>
    <t>　　销售商品、提供劳务收到的现金</t>
  </si>
  <si>
    <t>　　收到的税费返还</t>
  </si>
  <si>
    <t>　　收到其他与经营活动有关的现金</t>
  </si>
  <si>
    <t>　　经营活动现金流入(金融类)</t>
  </si>
  <si>
    <t>　　经营活动现金流入差额(特殊报表科目)</t>
  </si>
  <si>
    <t>　　经营活动现金流入差额(合计平衡项目)</t>
  </si>
  <si>
    <t>　　经营活动现金流入小计</t>
  </si>
  <si>
    <t>　　购买商品、接受劳务支付的现金</t>
  </si>
  <si>
    <t>　　支付给职工以及为职工支付的现金</t>
  </si>
  <si>
    <t>　　支付的各项税费</t>
  </si>
  <si>
    <t>　　支付其他与经营活动有关的现金</t>
  </si>
  <si>
    <t>　　经营活动现金流出(金融类)</t>
  </si>
  <si>
    <t>　　经营活动现金流出差额(特殊报表科目)</t>
  </si>
  <si>
    <t>　　经营活动现金流出差额(合计平衡项目)</t>
  </si>
  <si>
    <t>　　经营活动现金流出小计</t>
  </si>
  <si>
    <t>　　经营活动产生的现金流量净额差额(合计平衡项目)</t>
  </si>
  <si>
    <t>　　经营活动产生的现金流量净额</t>
  </si>
  <si>
    <t>投资活动产生的现金流量：</t>
  </si>
  <si>
    <t>　　收回投资收到的现金</t>
  </si>
  <si>
    <t>　　取得投资收益收到的现金</t>
  </si>
  <si>
    <t>　　处置固定资产、无形资产和其他长期资产收回的现金净额</t>
  </si>
  <si>
    <t>　　处置子公司及其他营业单位收到的现金净额</t>
  </si>
  <si>
    <t>　　收到其他与投资活动有关的现金</t>
  </si>
  <si>
    <t>　　投资活动现金流入差额(特殊报表科目)</t>
  </si>
  <si>
    <t>　　投资活动现金流入差额(合计平衡项目)</t>
  </si>
  <si>
    <t>　　投资活动现金流入小计</t>
  </si>
  <si>
    <t>　　购建固定资产、无形资产和其他长期资产支付的现金</t>
  </si>
  <si>
    <t>　　投资支付的现金</t>
  </si>
  <si>
    <t>　　取得子公司及其他营业单位支付的现金净额</t>
  </si>
  <si>
    <t>　　支付其他与投资活动有关的现金</t>
  </si>
  <si>
    <t>　　投资活动现金流出差额(特殊报表科目)</t>
  </si>
  <si>
    <t>　　投资活动现金流出差额(合计平衡项目)</t>
  </si>
  <si>
    <t>　　投资活动现金流出小计</t>
  </si>
  <si>
    <t>　　投资活动产生的现金流量净额差额(合计平衡项目)</t>
  </si>
  <si>
    <t>　　投资活动产生的现金流量净额</t>
  </si>
  <si>
    <t>筹资活动产生的现金流量：</t>
  </si>
  <si>
    <t>　　吸收投资收到的现金</t>
  </si>
  <si>
    <t>　　其中：子公司吸收少数股东投资收到的现金</t>
  </si>
  <si>
    <t>　　取得借款收到的现金</t>
  </si>
  <si>
    <t>　　收到其他与筹资活动有关的现金</t>
  </si>
  <si>
    <t>　　发行债券收到的现金</t>
  </si>
  <si>
    <t>　　筹资活动现金流入差额(特殊报表科目)</t>
  </si>
  <si>
    <t>　　筹资活动现金流入差额(合计平衡项目)</t>
  </si>
  <si>
    <t>　　筹资活动现金流入小计</t>
  </si>
  <si>
    <t>　　偿还债务支付的现金</t>
  </si>
  <si>
    <t>　　分配股利、利润或偿付利息支付的现金</t>
  </si>
  <si>
    <t>　　其中：子公司支付给少数股东的股利、利润</t>
  </si>
  <si>
    <t>　　支付其他与筹资活动有关的现金</t>
  </si>
  <si>
    <t>　　筹资活动现金流出差额(特殊报表科目)</t>
  </si>
  <si>
    <t>　　筹资活动现金流出差额(合计平衡项目)</t>
  </si>
  <si>
    <t>　　筹资活动现金流出小计</t>
  </si>
  <si>
    <t>　　筹资活动产生的现金流量净额差额(合计平衡项目)</t>
  </si>
  <si>
    <t>　　筹资活动产生的现金流量净额</t>
  </si>
  <si>
    <t>汇率变动对现金的影响</t>
  </si>
  <si>
    <t>　　直接法-现金及现金等价物净增加额差额(特殊报表科目)</t>
  </si>
  <si>
    <t>　　直接法-现金及现金等价物净增加额差额(合计平衡项目)</t>
  </si>
  <si>
    <t>现金及现金等价物净增加额</t>
  </si>
  <si>
    <t>　　期初现金及现金等价物余额</t>
  </si>
  <si>
    <t>　　期末现金及现金等价物余额</t>
  </si>
  <si>
    <t>补充资料：</t>
  </si>
  <si>
    <t>　　净利润</t>
  </si>
  <si>
    <t>　　加：资产减值准备</t>
  </si>
  <si>
    <t>　　　　信用减值损失</t>
  </si>
  <si>
    <t>　　　　固定资产折旧、油气资产折耗、生产性生物资产折旧</t>
  </si>
  <si>
    <t>　　　　无形资产摊销</t>
  </si>
  <si>
    <t>　　　　使用权资产折旧</t>
  </si>
  <si>
    <t>　　　　长期待摊费用摊销</t>
  </si>
  <si>
    <t>　　　　待摊费用减少</t>
  </si>
  <si>
    <t>　　　　预提费用增加</t>
  </si>
  <si>
    <t>　　　　处置固定资产、无形资产和其他长期资产的损失</t>
  </si>
  <si>
    <t>　　　　固定资产报废损失</t>
  </si>
  <si>
    <t>　　　　公允价值变动损失</t>
  </si>
  <si>
    <t>　　　　财务费用</t>
  </si>
  <si>
    <t>　　　　投资损失</t>
  </si>
  <si>
    <t>　　　　递延所得税资产减少</t>
  </si>
  <si>
    <t>　　　　递延所得税负债增加</t>
  </si>
  <si>
    <t>　　　　存货的减少</t>
  </si>
  <si>
    <t>　　　　经营性应收项目的减少</t>
  </si>
  <si>
    <t>　　　　经营性应付项目的增加</t>
  </si>
  <si>
    <t>　　　　未确认的投资损失</t>
  </si>
  <si>
    <t>　　　　其他</t>
  </si>
  <si>
    <t>　　　　间接法-经营活动现金流量净额差额(特殊报表科目)</t>
  </si>
  <si>
    <t>　　　　间接法-经营活动现金流量净额差额(合计平衡项目)</t>
  </si>
  <si>
    <t>　　间接法-经营活动产生的现金流量净额</t>
  </si>
  <si>
    <t>　　债务转为资本</t>
  </si>
  <si>
    <t>　　一年内到期的可转换公司债券</t>
  </si>
  <si>
    <t>　　融资租入固定资产</t>
  </si>
  <si>
    <t>　　现金的期末余额</t>
  </si>
  <si>
    <t>　　减：现金的期初余额</t>
  </si>
  <si>
    <t>　　加：现金等价物的期末余额</t>
  </si>
  <si>
    <t>　　减：现金等价物的期初余额</t>
  </si>
  <si>
    <t>　　加：间接法-现金净增加额差额(特殊报表科目)</t>
  </si>
  <si>
    <t>　　　　间接法-现金净增加额差额(合计平衡项目)</t>
  </si>
  <si>
    <t>　　间接法-现金及现金等价物净增加额</t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</si>
  <si>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经营活动现金流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</si>
  <si>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净利润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</si>
  <si>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经营活动现金流</t>
    </r>
    <r>
      <rPr>
        <sz val="9"/>
        <color theme="1"/>
        <rFont val="Arial"/>
        <family val="2"/>
      </rPr>
      <t>-</t>
    </r>
    <r>
      <rPr>
        <sz val="9"/>
        <color theme="1"/>
        <rFont val="宋体"/>
        <family val="3"/>
        <charset val="134"/>
      </rPr>
      <t>净利润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</si>
  <si>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净利润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宋体"/>
        <family val="3"/>
        <charset val="134"/>
      </rPr>
      <t>总额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Arial"/>
        <family val="2"/>
      </rPr>
      <t>2012-2018</t>
    </r>
    <r>
      <rPr>
        <sz val="9"/>
        <color theme="1"/>
        <rFont val="宋体"/>
        <family val="3"/>
        <charset val="134"/>
      </rPr>
      <t>）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</si>
  <si>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经营活动现金流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宋体"/>
        <family val="3"/>
        <charset val="134"/>
      </rPr>
      <t>总额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Arial"/>
        <family val="2"/>
      </rPr>
      <t>2012-2018</t>
    </r>
    <r>
      <rPr>
        <sz val="9"/>
        <color theme="1"/>
        <rFont val="宋体"/>
        <family val="3"/>
        <charset val="134"/>
      </rPr>
      <t>）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</si>
  <si>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经营活动现金流</t>
    </r>
    <r>
      <rPr>
        <sz val="9"/>
        <color theme="1"/>
        <rFont val="Arial"/>
        <family val="2"/>
      </rPr>
      <t>-</t>
    </r>
    <r>
      <rPr>
        <sz val="9"/>
        <color theme="1"/>
        <rFont val="宋体"/>
        <family val="3"/>
        <charset val="134"/>
      </rPr>
      <t>净利润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宋体"/>
        <family val="3"/>
        <charset val="134"/>
      </rPr>
      <t>总额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Arial"/>
        <family val="2"/>
      </rPr>
      <t>2006-2011</t>
    </r>
    <r>
      <rPr>
        <sz val="9"/>
        <color theme="1"/>
        <rFont val="宋体"/>
        <family val="3"/>
        <charset val="134"/>
      </rPr>
      <t>）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</si>
  <si>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经营活动现金流</t>
    </r>
    <r>
      <rPr>
        <sz val="9"/>
        <color theme="1"/>
        <rFont val="Arial"/>
        <family val="2"/>
      </rPr>
      <t>-</t>
    </r>
    <r>
      <rPr>
        <sz val="9"/>
        <color theme="1"/>
        <rFont val="宋体"/>
        <family val="3"/>
        <charset val="134"/>
      </rPr>
      <t>净利润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宋体"/>
        <family val="3"/>
        <charset val="134"/>
      </rPr>
      <t>总额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Arial"/>
        <family val="2"/>
      </rPr>
      <t>2012-3Q18</t>
    </r>
    <r>
      <rPr>
        <sz val="9"/>
        <color theme="1"/>
        <rFont val="宋体"/>
        <family val="3"/>
        <charset val="134"/>
      </rPr>
      <t>）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</si>
  <si>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应收账款变化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</si>
  <si>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存货变化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</si>
  <si>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重要营运资产变化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Arial"/>
        <family val="2"/>
      </rPr>
      <t>2012-3Q18</t>
    </r>
    <r>
      <rPr>
        <sz val="9"/>
        <color theme="1"/>
        <rFont val="宋体"/>
        <family val="3"/>
        <charset val="134"/>
      </rPr>
      <t>）</t>
    </r>
  </si>
  <si>
    <t>4Q11</t>
  </si>
  <si>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Q18</t>
    </r>
  </si>
  <si>
    <t>Change</t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</si>
  <si>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应收账款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</si>
  <si>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存货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</si>
  <si>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营业收入质量</t>
    </r>
  </si>
  <si>
    <t>9M12</t>
  </si>
  <si>
    <t>9M13</t>
  </si>
  <si>
    <t>9M14</t>
  </si>
  <si>
    <t>9M15</t>
  </si>
  <si>
    <t>9M16</t>
  </si>
  <si>
    <t>9M17</t>
  </si>
  <si>
    <t>9M18</t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</si>
  <si>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营业收入-前三季度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</si>
  <si>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应收账款增加总额-前三季度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</si>
  <si>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应收账款增加总额-占比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</si>
  <si>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单季应收账款增加额</t>
    </r>
    <r>
      <rPr>
        <sz val="9"/>
        <color theme="1"/>
        <rFont val="Arial"/>
        <family val="2"/>
      </rPr>
      <t>/</t>
    </r>
    <r>
      <rPr>
        <sz val="9"/>
        <color theme="1"/>
        <rFont val="宋体"/>
        <family val="3"/>
        <charset val="134"/>
      </rPr>
      <t>单季营业收入</t>
    </r>
  </si>
  <si>
    <t>第一季度</t>
  </si>
  <si>
    <t>第二季度</t>
  </si>
  <si>
    <t>第三季度</t>
  </si>
  <si>
    <t>第四季度</t>
  </si>
  <si>
    <t>合并报表(单季度)</t>
  </si>
  <si>
    <t>其他业务收入(金融类)</t>
  </si>
  <si>
    <t>其他业务成本(金融类)</t>
  </si>
  <si>
    <t>　　其他收益</t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</si>
  <si>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财务比率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</si>
  <si>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营业收入</t>
    </r>
    <r>
      <rPr>
        <sz val="9"/>
        <color theme="1"/>
        <rFont val="Arial"/>
        <family val="2"/>
      </rPr>
      <t>-YoY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</si>
  <si>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归母净利润</t>
    </r>
    <r>
      <rPr>
        <sz val="9"/>
        <color theme="1"/>
        <rFont val="Arial"/>
        <family val="2"/>
      </rPr>
      <t>-YoY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</si>
  <si>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毛利率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</si>
  <si>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销售费用率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</si>
  <si>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毛销差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</si>
  <si>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三费率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</si>
  <si>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实际有效税率</t>
    </r>
  </si>
  <si>
    <r>
      <rPr>
        <sz val="9"/>
        <color theme="1"/>
        <rFont val="Arial"/>
        <family val="2"/>
      </rPr>
      <t xml:space="preserve">  </t>
    </r>
    <r>
      <rPr>
        <sz val="9"/>
        <color theme="1"/>
        <rFont val="宋体"/>
        <family val="3"/>
        <charset val="134"/>
      </rPr>
      <t>归母净利润率</t>
    </r>
  </si>
  <si>
    <t>资产负债科目周转率假设（万元）</t>
  </si>
  <si>
    <t>预测基准</t>
  </si>
  <si>
    <t>1、经营性流动资产</t>
  </si>
  <si>
    <t>应收票据周转率</t>
  </si>
  <si>
    <t>应收账款周转率</t>
  </si>
  <si>
    <t>存货周转率</t>
  </si>
  <si>
    <t>2、经营性非流动资产</t>
  </si>
  <si>
    <t>3、经营性流动负债</t>
  </si>
  <si>
    <t>应付票据周转率</t>
  </si>
  <si>
    <t>应付账款周转率</t>
  </si>
  <si>
    <t>4、经营性非流动负债</t>
  </si>
  <si>
    <t>权益科目假设（万元）</t>
  </si>
  <si>
    <t>1、股本</t>
  </si>
  <si>
    <t xml:space="preserve">    普通股</t>
  </si>
  <si>
    <t>2、期权成本假设</t>
  </si>
  <si>
    <t xml:space="preserve">    期权成本占收入比例假设</t>
  </si>
  <si>
    <t>3、权益融资净额假设</t>
  </si>
  <si>
    <t>4、股本假设(万股)</t>
  </si>
  <si>
    <t xml:space="preserve">    普通股股数</t>
  </si>
  <si>
    <t xml:space="preserve">    稀释股数</t>
  </si>
  <si>
    <t xml:space="preserve">    number of ADS outstanding</t>
  </si>
  <si>
    <t>5、分红假设</t>
  </si>
  <si>
    <t xml:space="preserve">    股利支付率</t>
  </si>
  <si>
    <t>6、储备</t>
  </si>
  <si>
    <t xml:space="preserve"> </t>
  </si>
  <si>
    <t>融资假设</t>
  </si>
  <si>
    <t>公司最低现金余额占营业收入比例为：</t>
  </si>
  <si>
    <t>公司银行结余换算利率为：</t>
  </si>
  <si>
    <t>公司短期投资利率为：</t>
  </si>
  <si>
    <t>公司短期贷款占短期应收项目比例为：</t>
  </si>
  <si>
    <t>公司短期借款利率为：</t>
  </si>
  <si>
    <t>长期借款/长期资产</t>
  </si>
  <si>
    <t>公司长期借款利率为：</t>
  </si>
  <si>
    <t>公司长期票据利率为：</t>
  </si>
  <si>
    <t>利息费用化率</t>
  </si>
  <si>
    <t>资本开支汇总（万元）</t>
  </si>
  <si>
    <t>（1）投资性房地产投资额</t>
  </si>
  <si>
    <t>（2）固定资产投资额</t>
  </si>
  <si>
    <t>（3）生物性资产投资额</t>
  </si>
  <si>
    <t>（4）无形资产投资额</t>
  </si>
  <si>
    <t>（5）长期待摊费用投资额</t>
  </si>
  <si>
    <t>（6）长期股权投资额</t>
  </si>
  <si>
    <t>（7）资本开支合计</t>
  </si>
  <si>
    <t>投资性房地产假设</t>
  </si>
  <si>
    <t>期初账面价值（净值）</t>
  </si>
  <si>
    <t xml:space="preserve">    净添置</t>
  </si>
  <si>
    <t xml:space="preserve">    年内折旧</t>
  </si>
  <si>
    <t>折旧率</t>
  </si>
  <si>
    <t>期末账面余额（净值）</t>
  </si>
  <si>
    <t>固定资产假设</t>
  </si>
  <si>
    <t>在建工程</t>
  </si>
  <si>
    <t>生物性资产假设</t>
  </si>
  <si>
    <t>无形资产假设</t>
  </si>
  <si>
    <t xml:space="preserve">    年内计提摊销</t>
  </si>
  <si>
    <t>摊销率</t>
  </si>
  <si>
    <t>开发支出</t>
  </si>
  <si>
    <t>长期待摊费用假设</t>
  </si>
  <si>
    <t>检验</t>
  </si>
  <si>
    <t>收入/投资性地产</t>
  </si>
  <si>
    <t>收入/固定资产</t>
  </si>
  <si>
    <t>收入/生物性资产</t>
  </si>
  <si>
    <t>收入/无形资产</t>
  </si>
  <si>
    <t>收入/长期待摊费用</t>
  </si>
  <si>
    <t>折旧与摊销汇总</t>
  </si>
  <si>
    <t>投资性房地产折旧</t>
  </si>
  <si>
    <t>固定资产折旧</t>
  </si>
  <si>
    <t>生物性资产折旧</t>
  </si>
  <si>
    <t>无形资产摊销</t>
  </si>
  <si>
    <t>长期待摊费用摊销</t>
  </si>
  <si>
    <t>合计</t>
  </si>
  <si>
    <t>单位：万元</t>
  </si>
  <si>
    <t>一、营业总收入</t>
  </si>
  <si>
    <t>其中：营业收入</t>
  </si>
  <si>
    <t xml:space="preserve">    同比增速</t>
  </si>
  <si>
    <t>二、营业总成本</t>
  </si>
  <si>
    <t>其中：营业成本</t>
  </si>
  <si>
    <t xml:space="preserve">         税金及附加</t>
  </si>
  <si>
    <t xml:space="preserve">         销售费用</t>
  </si>
  <si>
    <t xml:space="preserve">         管理费用</t>
  </si>
  <si>
    <t xml:space="preserve">         研发费用</t>
  </si>
  <si>
    <t xml:space="preserve">         财务费用</t>
  </si>
  <si>
    <t xml:space="preserve">         资产减值损失</t>
  </si>
  <si>
    <t>加：投资收益（损失以“－”号填列）</t>
  </si>
  <si>
    <t xml:space="preserve">      其中：对联营企业和合营企业的投资收益</t>
  </si>
  <si>
    <t xml:space="preserve">      汇兑收益（损失以“-”号填列）</t>
  </si>
  <si>
    <t xml:space="preserve">      资产处置收益（损失以“－”号填列）</t>
  </si>
  <si>
    <t xml:space="preserve">      其他收益（损失以“－”号填列）</t>
  </si>
  <si>
    <t>三、营业利润（亏损以“－”号填列）</t>
  </si>
  <si>
    <t>加：营业外收入</t>
  </si>
  <si>
    <t>减：营业外支出</t>
  </si>
  <si>
    <t>四、利润总额（亏损总额以“－”号填列）</t>
  </si>
  <si>
    <t>减：所得税费用</t>
  </si>
  <si>
    <t>五、净利润（净亏损以“－”号填列）</t>
  </si>
  <si>
    <t>（一）持续经营净利润（净亏损以“－”号填列）</t>
  </si>
  <si>
    <t>（二）终止经营净利润（净亏损以“－”号填列）</t>
  </si>
  <si>
    <t>少数股东损益</t>
  </si>
  <si>
    <t>归属于母公司所有者的净利润</t>
  </si>
  <si>
    <t>分红</t>
  </si>
  <si>
    <t>分红后留存利润</t>
  </si>
  <si>
    <t>六、其他综合收益的税后净额</t>
  </si>
  <si>
    <t>归属母公司所有者的其他综合收益的税后净额</t>
  </si>
  <si>
    <t>归属于少数股东的其他综合收益的税后净额</t>
  </si>
  <si>
    <t>七、综合收益总额</t>
  </si>
  <si>
    <t>归属于母公司所有者的综合收益总额</t>
  </si>
  <si>
    <t>归属于少数股东的综合收益总额</t>
  </si>
  <si>
    <t>八、每股收益：</t>
  </si>
  <si>
    <t>（一）摊薄每股收益</t>
  </si>
  <si>
    <t>Weighted average number of ADS outstanding—diluted(in thousands)</t>
  </si>
  <si>
    <t>净利率</t>
  </si>
  <si>
    <t>ROE检验</t>
  </si>
  <si>
    <t>营收增速</t>
  </si>
  <si>
    <t>净利润增速</t>
  </si>
  <si>
    <t>年结日：12月31日&amp;单位：万元</t>
  </si>
  <si>
    <t>2015H</t>
  </si>
  <si>
    <t>2016H</t>
  </si>
  <si>
    <t>2017H</t>
  </si>
  <si>
    <t>资产：</t>
  </si>
  <si>
    <t>货币资金</t>
  </si>
  <si>
    <t>应收票据</t>
  </si>
  <si>
    <t>应收账款</t>
  </si>
  <si>
    <t>预付款项</t>
  </si>
  <si>
    <t>应收利息</t>
  </si>
  <si>
    <t>其他应收款</t>
  </si>
  <si>
    <t>应收股利</t>
  </si>
  <si>
    <t>存货</t>
  </si>
  <si>
    <t>其他流动资产</t>
  </si>
  <si>
    <t>流动资产合计</t>
  </si>
  <si>
    <t>可供出售金融资产</t>
  </si>
  <si>
    <t>长期股权投资</t>
  </si>
  <si>
    <t>投资性房地产</t>
  </si>
  <si>
    <t>固定资产</t>
  </si>
  <si>
    <t>生产性生物资产</t>
  </si>
  <si>
    <t>无形资产</t>
  </si>
  <si>
    <t>商誉</t>
  </si>
  <si>
    <t>长期待摊费用</t>
  </si>
  <si>
    <t>递延所得税资产</t>
  </si>
  <si>
    <t>其他非流动资产</t>
  </si>
  <si>
    <t>非流动资产合计</t>
  </si>
  <si>
    <t>资产合计</t>
  </si>
  <si>
    <t>负债：</t>
  </si>
  <si>
    <t>短期借款</t>
  </si>
  <si>
    <t>应付票据</t>
  </si>
  <si>
    <t>应付账款</t>
  </si>
  <si>
    <t>预收款项</t>
  </si>
  <si>
    <t>应付职工薪酬</t>
  </si>
  <si>
    <t>应交税费</t>
  </si>
  <si>
    <t>其他应付款</t>
  </si>
  <si>
    <t>其他流动负债</t>
  </si>
  <si>
    <t>流动负债合计</t>
  </si>
  <si>
    <t>长期借款</t>
  </si>
  <si>
    <t>预计负债</t>
  </si>
  <si>
    <t>递延收益</t>
  </si>
  <si>
    <t>非流动负债合计</t>
  </si>
  <si>
    <t>负债合计</t>
  </si>
  <si>
    <t>所有者权益：</t>
  </si>
  <si>
    <t>股本</t>
  </si>
  <si>
    <t>储备</t>
  </si>
  <si>
    <t>—库存股</t>
  </si>
  <si>
    <t>—资本公积</t>
  </si>
  <si>
    <t>—盈余公积</t>
  </si>
  <si>
    <t>— 一般风险准备</t>
  </si>
  <si>
    <t>—未分配利润</t>
  </si>
  <si>
    <t>少数股东权益</t>
  </si>
  <si>
    <t>所有者权益合计</t>
  </si>
  <si>
    <t>负债和所有者权益合计</t>
  </si>
  <si>
    <t>平衡测试</t>
  </si>
  <si>
    <t>运营资本测算</t>
  </si>
  <si>
    <t>资产负债率</t>
  </si>
  <si>
    <t>1、经营活动产生的现金流量：</t>
  </si>
  <si>
    <t>调整项:</t>
  </si>
  <si>
    <t>资产减值准备</t>
  </si>
  <si>
    <t>固定资产折旧、油气资产折耗、生产性生物资产折旧</t>
  </si>
  <si>
    <t>处置固定资产、无形资产和其他长期资产的损失（收益以“－”号填列）</t>
  </si>
  <si>
    <t>固定资产报废损失（收益以“－”号填列）</t>
  </si>
  <si>
    <t>公允价值变动损失（收益以“－”号填列）</t>
  </si>
  <si>
    <t>财务费用（收益以“－”号填列）</t>
  </si>
  <si>
    <t>投资损失（收益以“－”号填列）</t>
  </si>
  <si>
    <t>递延所得税资产减少（增加以“－”号填列）</t>
  </si>
  <si>
    <t>递延所得税负债增加（减少以“－”号填列）</t>
  </si>
  <si>
    <t>递延收益的摊销</t>
  </si>
  <si>
    <t>存货的减少（增加以“－”号填列）</t>
  </si>
  <si>
    <t>经营性应收项目的减少（增加以“－”号填列）</t>
  </si>
  <si>
    <t>经营性应付项目的增加（减少以“－”号填列）</t>
  </si>
  <si>
    <t>其他</t>
  </si>
  <si>
    <t>股权激励费用计提/(回拨)</t>
  </si>
  <si>
    <t>经营活动产生的现金流量净额</t>
  </si>
  <si>
    <t>2、投资活动产生的现金流量：</t>
  </si>
  <si>
    <t>收回投资收到的现金</t>
  </si>
  <si>
    <t>取得投资收益收到的现金</t>
  </si>
  <si>
    <t>投资支付的现金</t>
  </si>
  <si>
    <t>购建固定资产、无形资产和其他长期资产支付的现金</t>
  </si>
  <si>
    <t>处置固定资产、无形资产和其他长期资产收回的现金净额</t>
  </si>
  <si>
    <t>处置子公司及其他营业单位收到的现金净额</t>
  </si>
  <si>
    <t>取得子公司及其他营业单位支付的现金净额</t>
  </si>
  <si>
    <t>收到其他与投资活动有关的现金</t>
  </si>
  <si>
    <t>支付其他与投资活动有关的现金</t>
  </si>
  <si>
    <t>投资活动产生的现金流量净额</t>
  </si>
  <si>
    <t>3、融资活动产生的现金流量：</t>
  </si>
  <si>
    <t>吸收投资收到的现金</t>
  </si>
  <si>
    <t>其中：子公司吸收少数股东投资收到的现金</t>
  </si>
  <si>
    <t>取得借款收到的现金</t>
  </si>
  <si>
    <t>偿还债务支付的现金</t>
  </si>
  <si>
    <t>发行债券收到的现金</t>
  </si>
  <si>
    <t>收到其他与筹资活动有关的现金</t>
  </si>
  <si>
    <t>分配股利、利润或偿付利息支付的现金</t>
  </si>
  <si>
    <t>其中：子公司支付给少数股东的股利、利润</t>
  </si>
  <si>
    <t>支付其他与筹资活动有关的现金</t>
  </si>
  <si>
    <t>融资活动产生的现金流量净额</t>
  </si>
  <si>
    <t>汇率变动对现金及现金等价物的影响</t>
  </si>
  <si>
    <t xml:space="preserve">       期初现金及现金等价物余额</t>
  </si>
  <si>
    <t xml:space="preserve">       期末现金及现金等价物余额</t>
  </si>
  <si>
    <t>4、借款循环假设：</t>
  </si>
  <si>
    <t>（1）长期借款假设</t>
  </si>
  <si>
    <t>期初余额</t>
  </si>
  <si>
    <t>当期增加/(减少)</t>
  </si>
  <si>
    <t>期末余额</t>
  </si>
  <si>
    <t>长期贷款利息费用</t>
  </si>
  <si>
    <t>（2）短期借款假设</t>
  </si>
  <si>
    <t>期初现金余额</t>
  </si>
  <si>
    <t>当期现金流量</t>
  </si>
  <si>
    <t>＋经营活动产生的现金流量</t>
  </si>
  <si>
    <t>＋投资活动产生的现金流量</t>
  </si>
  <si>
    <t>＋计入循环贷款前融资活动产生的现金流量</t>
  </si>
  <si>
    <t>-最低现金余额</t>
  </si>
  <si>
    <t>现金剩余/(缺口）</t>
  </si>
  <si>
    <t>短期贷款实际需求</t>
  </si>
  <si>
    <t>短期贷款期末余额</t>
  </si>
  <si>
    <t>短期贷款期初余额</t>
  </si>
  <si>
    <t>短期贷款的增加/(减少)</t>
  </si>
  <si>
    <t>短期贷款利息费用</t>
  </si>
  <si>
    <t>利息费用合计</t>
  </si>
  <si>
    <t>（3）现金测算</t>
  </si>
  <si>
    <t>利息收入</t>
  </si>
  <si>
    <t>财务费用</t>
  </si>
  <si>
    <t>加：所得税</t>
  </si>
  <si>
    <t>加：财务费用</t>
  </si>
  <si>
    <t>息税前利润（EBIT）</t>
  </si>
  <si>
    <t>同比变化（%）</t>
  </si>
  <si>
    <t>减：所得税（Taxes on EBIT）</t>
  </si>
  <si>
    <t>税后经营利润 (NOPAT)</t>
  </si>
  <si>
    <t>加：折旧</t>
  </si>
  <si>
    <t>加：摊销</t>
  </si>
  <si>
    <t>减：营运资本的增加（加：减少）</t>
  </si>
  <si>
    <t>减：资本性支出</t>
  </si>
  <si>
    <t xml:space="preserve">企业自由现金流量 </t>
  </si>
  <si>
    <t>2024E</t>
  </si>
  <si>
    <t>2025E</t>
  </si>
  <si>
    <t>2026E</t>
  </si>
  <si>
    <t>2027E</t>
  </si>
  <si>
    <t>2028E</t>
  </si>
  <si>
    <t>2029E</t>
  </si>
  <si>
    <t>2030E</t>
  </si>
  <si>
    <t>2031E</t>
  </si>
  <si>
    <t>企业自由现金流量 （中期预测）</t>
  </si>
  <si>
    <t>参数假设</t>
  </si>
  <si>
    <t>适用折现率：</t>
  </si>
  <si>
    <t>最新日期</t>
  </si>
  <si>
    <t>永续增长率g</t>
  </si>
  <si>
    <t>税后债务成本率</t>
  </si>
  <si>
    <t>股权成本率</t>
  </si>
  <si>
    <t>无风险报酬率</t>
  </si>
  <si>
    <t>风险补偿率</t>
  </si>
  <si>
    <t>贝塔系数</t>
  </si>
  <si>
    <t>股票代码</t>
  </si>
  <si>
    <t>股票名称</t>
  </si>
  <si>
    <t>目标资本结构</t>
  </si>
  <si>
    <t>折现过程及结果</t>
  </si>
  <si>
    <r>
      <rPr>
        <sz val="11"/>
        <rFont val="微软雅黑"/>
        <family val="2"/>
        <charset val="134"/>
      </rPr>
      <t>折现系数1/(1+k)</t>
    </r>
    <r>
      <rPr>
        <vertAlign val="superscript"/>
        <sz val="11"/>
        <rFont val="微软雅黑"/>
        <family val="2"/>
        <charset val="134"/>
      </rPr>
      <t xml:space="preserve">t </t>
    </r>
  </si>
  <si>
    <t>预测期（2019-2023）自由现金流量现值</t>
  </si>
  <si>
    <t>预测期（2024-2031）自由现金流量现值</t>
  </si>
  <si>
    <t>预测期自由现金流量总计（亿元）</t>
  </si>
  <si>
    <t>永续期自由现金流量总计（亿元）</t>
  </si>
  <si>
    <t>企业价值（亿元）</t>
  </si>
  <si>
    <t>减净负债（亿元）</t>
  </si>
  <si>
    <t>减少数股东权益（亿元）</t>
  </si>
  <si>
    <t>归属母公司的股权价值合计（亿元）</t>
  </si>
  <si>
    <t>当前市值（亿元）</t>
  </si>
  <si>
    <t>DCF估值对应股价（元）</t>
  </si>
  <si>
    <t>当前股价（元）</t>
  </si>
  <si>
    <t>敏感性分析</t>
  </si>
  <si>
    <t>WACC/g</t>
  </si>
  <si>
    <t>估值参数</t>
  </si>
  <si>
    <t>估值结果</t>
  </si>
  <si>
    <t>企业价值</t>
  </si>
  <si>
    <t>亿元</t>
  </si>
  <si>
    <t>减净负债</t>
  </si>
  <si>
    <t>减少数股东权益</t>
  </si>
  <si>
    <t>归属母公司权益价值</t>
  </si>
  <si>
    <t>DCF估值对应股价</t>
  </si>
  <si>
    <t>元</t>
  </si>
  <si>
    <t>当前股价</t>
  </si>
  <si>
    <t>A股相关公司</t>
  </si>
  <si>
    <t>证券代码</t>
  </si>
  <si>
    <t>收盘价
（元）</t>
  </si>
  <si>
    <t>总市值
（亿元）</t>
  </si>
  <si>
    <t>市盈率</t>
  </si>
  <si>
    <t>三年利润
复合增速</t>
  </si>
  <si>
    <t>一年内到期的非流动资产</t>
    <phoneticPr fontId="52" type="noConversion"/>
  </si>
  <si>
    <r>
      <t>203</t>
    </r>
    <r>
      <rPr>
        <sz val="11"/>
        <rFont val="微软雅黑"/>
        <family val="2"/>
        <charset val="134"/>
      </rPr>
      <t>2</t>
    </r>
    <r>
      <rPr>
        <sz val="11"/>
        <rFont val="微软雅黑"/>
        <family val="2"/>
        <charset val="134"/>
      </rPr>
      <t>E</t>
    </r>
    <phoneticPr fontId="52" type="noConversion"/>
  </si>
  <si>
    <r>
      <t>203</t>
    </r>
    <r>
      <rPr>
        <sz val="11"/>
        <rFont val="微软雅黑"/>
        <family val="2"/>
        <charset val="134"/>
      </rPr>
      <t>3</t>
    </r>
    <r>
      <rPr>
        <sz val="11"/>
        <rFont val="微软雅黑"/>
        <family val="2"/>
        <charset val="134"/>
      </rPr>
      <t>E</t>
    </r>
    <phoneticPr fontId="52" type="noConversion"/>
  </si>
  <si>
    <t>三只松鼠</t>
    <phoneticPr fontId="52" type="noConversion"/>
  </si>
  <si>
    <r>
      <t>3</t>
    </r>
    <r>
      <rPr>
        <sz val="11"/>
        <rFont val="微软雅黑"/>
        <family val="2"/>
        <charset val="134"/>
      </rPr>
      <t>00783</t>
    </r>
    <r>
      <rPr>
        <sz val="11"/>
        <rFont val="微软雅黑"/>
        <family val="2"/>
        <charset val="134"/>
      </rPr>
      <t>.SZ</t>
    </r>
    <phoneticPr fontId="52" type="noConversion"/>
  </si>
  <si>
    <t>年末日期</t>
    <phoneticPr fontId="52" type="noConversion"/>
  </si>
  <si>
    <t>好想你</t>
  </si>
  <si>
    <t>来伊份</t>
  </si>
  <si>
    <t>盐津铺子</t>
  </si>
  <si>
    <t>洽洽食品</t>
  </si>
  <si>
    <t>绝味食品</t>
  </si>
  <si>
    <t>300783.SZ</t>
  </si>
  <si>
    <t>002847.SZ</t>
  </si>
  <si>
    <t>002582.SZ</t>
  </si>
  <si>
    <t>603777.SH</t>
  </si>
  <si>
    <t>002557.SZ</t>
  </si>
  <si>
    <t>603517.SH</t>
  </si>
  <si>
    <t>分产品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</si>
</sst>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 &quot;¥&quot;* #,##0.00_ ;_ &quot;¥&quot;* \-#,##0.00_ ;_ &quot;¥&quot;* &quot;-&quot;??_ ;_ @_ "/>
    <numFmt numFmtId="176" formatCode="_(* #,##0.00_);_(* \(#,##0.00\);_(* &quot;-&quot;??_);_(@_)"/>
    <numFmt numFmtId="177" formatCode="#,##0.0_);\(#,##0.0\)"/>
    <numFmt numFmtId="178" formatCode="[Blue]#,##0.00;[Red]\-#,##0.00"/>
    <numFmt numFmtId="179" formatCode="_-* #,##0_-;\-* #,##0_-;_-* &quot;-&quot;_-;_-@_-"/>
    <numFmt numFmtId="180" formatCode="#,##0.00_ ;[Red]\-#,##0.00\ "/>
    <numFmt numFmtId="181" formatCode="0.0000"/>
    <numFmt numFmtId="182" formatCode="###,###,##0"/>
    <numFmt numFmtId="183" formatCode="yyyy\ &quot;年&quot;"/>
    <numFmt numFmtId="184" formatCode="[Blue]#,##0;[Red]\-#,##0"/>
    <numFmt numFmtId="185" formatCode="###,###,##0.00"/>
    <numFmt numFmtId="186" formatCode="_ * #,##0_ ;_ * \-#,##0_ ;_ * &quot;-&quot;??_ ;_ @_ "/>
    <numFmt numFmtId="187" formatCode="yyyy\-mm\-dd"/>
    <numFmt numFmtId="188" formatCode="###,##0.00_ "/>
    <numFmt numFmtId="189" formatCode="_-* #,##0.00_-;\-* #,##0.00_-;_-* &quot;-&quot;_-;_-@_-"/>
    <numFmt numFmtId="190" formatCode="###,###,##0.0000"/>
    <numFmt numFmtId="191" formatCode="#,##0_);[Red]\(#,##0\)"/>
    <numFmt numFmtId="192" formatCode="###,##0_ "/>
    <numFmt numFmtId="193" formatCode="0.0%"/>
  </numFmts>
  <fonts count="59" x14ac:knownFonts="1">
    <font>
      <sz val="11"/>
      <color theme="1"/>
      <name val="宋体"/>
      <charset val="134"/>
      <scheme val="minor"/>
    </font>
    <font>
      <sz val="11"/>
      <name val="Arial"/>
      <family val="2"/>
    </font>
    <font>
      <b/>
      <sz val="11"/>
      <color indexed="9"/>
      <name val="宋体"/>
      <family val="3"/>
      <charset val="134"/>
    </font>
    <font>
      <b/>
      <sz val="11"/>
      <name val="Arial"/>
      <family val="2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rgb="FF333333"/>
      <name val="微软雅黑"/>
      <family val="2"/>
      <charset val="134"/>
    </font>
    <font>
      <sz val="11"/>
      <color rgb="FF333333"/>
      <name val="宋体"/>
      <family val="3"/>
      <charset val="134"/>
      <scheme val="minor"/>
    </font>
    <font>
      <sz val="11"/>
      <name val="微软雅黑"/>
      <family val="2"/>
      <charset val="134"/>
    </font>
    <font>
      <u/>
      <sz val="11"/>
      <color theme="0"/>
      <name val="微软雅黑"/>
      <family val="2"/>
      <charset val="134"/>
    </font>
    <font>
      <u/>
      <sz val="11"/>
      <color theme="0"/>
      <name val="宋体"/>
      <family val="3"/>
      <charset val="134"/>
    </font>
    <font>
      <sz val="10"/>
      <name val="Arial"/>
      <family val="2"/>
    </font>
    <font>
      <b/>
      <sz val="16"/>
      <color indexed="9"/>
      <name val="宋体"/>
      <family val="3"/>
      <charset val="134"/>
    </font>
    <font>
      <b/>
      <sz val="10"/>
      <name val="Arial"/>
      <family val="2"/>
    </font>
    <font>
      <b/>
      <sz val="12"/>
      <color indexed="9"/>
      <name val="宋体"/>
      <family val="3"/>
      <charset val="134"/>
    </font>
    <font>
      <b/>
      <sz val="11"/>
      <color theme="0"/>
      <name val="微软雅黑"/>
      <family val="2"/>
      <charset val="134"/>
    </font>
    <font>
      <sz val="10"/>
      <name val="微软雅黑"/>
      <family val="2"/>
      <charset val="134"/>
    </font>
    <font>
      <u/>
      <sz val="12"/>
      <color theme="0"/>
      <name val="微软雅黑"/>
      <family val="2"/>
      <charset val="134"/>
    </font>
    <font>
      <u/>
      <sz val="12"/>
      <color theme="0"/>
      <name val="宋体"/>
      <family val="3"/>
      <charset val="134"/>
    </font>
    <font>
      <b/>
      <sz val="1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6"/>
      <name val="微软雅黑"/>
      <family val="2"/>
      <charset val="134"/>
    </font>
    <font>
      <b/>
      <sz val="10"/>
      <name val="微软雅黑"/>
      <family val="2"/>
      <charset val="134"/>
    </font>
    <font>
      <b/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8"/>
      <color theme="0"/>
      <name val="微软雅黑"/>
      <family val="2"/>
      <charset val="134"/>
    </font>
    <font>
      <sz val="11"/>
      <color theme="0"/>
      <name val="微软雅黑"/>
      <family val="2"/>
      <charset val="134"/>
    </font>
    <font>
      <sz val="10"/>
      <color indexed="9"/>
      <name val="Arial"/>
      <family val="2"/>
    </font>
    <font>
      <b/>
      <sz val="24"/>
      <color theme="1"/>
      <name val="宋体"/>
      <family val="3"/>
      <charset val="134"/>
    </font>
    <font>
      <b/>
      <sz val="24"/>
      <color indexed="9"/>
      <name val="宋体"/>
      <family val="3"/>
      <charset val="134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8"/>
      <color indexed="9"/>
      <name val="Arial"/>
      <family val="2"/>
    </font>
    <font>
      <sz val="11"/>
      <name val="宋体"/>
      <family val="3"/>
      <charset val="134"/>
    </font>
    <font>
      <sz val="10"/>
      <color rgb="FFFF0000"/>
      <name val="Arial"/>
      <family val="2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vertAlign val="subscript"/>
      <sz val="10"/>
      <name val="Arial"/>
      <family val="2"/>
    </font>
    <font>
      <vertAlign val="superscript"/>
      <sz val="11"/>
      <name val="微软雅黑"/>
      <family val="2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indexed="81"/>
      <name val="宋体"/>
      <family val="3"/>
      <charset val="134"/>
    </font>
    <font>
      <b/>
      <sz val="9"/>
      <color theme="1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rgb="FF004E9D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4DEF7"/>
        <bgColor indexed="64"/>
      </patternFill>
    </fill>
    <fill>
      <patternFill patternType="solid">
        <fgColor rgb="FFECF4F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004E9D"/>
      </left>
      <right style="thin">
        <color rgb="FF004E9D"/>
      </right>
      <top style="thin">
        <color rgb="FF004E9D"/>
      </top>
      <bottom style="thin">
        <color rgb="FF004E9D"/>
      </bottom>
      <diagonal/>
    </border>
    <border>
      <left style="thin">
        <color rgb="FF004E9D"/>
      </left>
      <right style="thin">
        <color rgb="FF004E9D"/>
      </right>
      <top style="thin">
        <color rgb="FF004E9D"/>
      </top>
      <bottom/>
      <diagonal/>
    </border>
    <border>
      <left style="thin">
        <color rgb="FF004E9D"/>
      </left>
      <right/>
      <top style="thin">
        <color rgb="FF004E9D"/>
      </top>
      <bottom style="thin">
        <color rgb="FF004E9D"/>
      </bottom>
      <diagonal/>
    </border>
    <border>
      <left/>
      <right/>
      <top style="thin">
        <color rgb="FF004E9D"/>
      </top>
      <bottom style="thin">
        <color rgb="FF004E9D"/>
      </bottom>
      <diagonal/>
    </border>
    <border>
      <left style="thin">
        <color rgb="FF004E9D"/>
      </left>
      <right style="thin">
        <color rgb="FF004E9D"/>
      </right>
      <top/>
      <bottom style="thin">
        <color rgb="FF004E9D"/>
      </bottom>
      <diagonal/>
    </border>
    <border>
      <left/>
      <right style="thin">
        <color rgb="FF004E9D"/>
      </right>
      <top style="thin">
        <color rgb="FF004E9D"/>
      </top>
      <bottom style="thin">
        <color rgb="FF004E9D"/>
      </bottom>
      <diagonal/>
    </border>
    <border>
      <left style="thin">
        <color rgb="FF004E9D"/>
      </left>
      <right/>
      <top style="thin">
        <color rgb="FF004E9D"/>
      </top>
      <bottom/>
      <diagonal/>
    </border>
    <border>
      <left/>
      <right/>
      <top style="thin">
        <color rgb="FF004E9D"/>
      </top>
      <bottom/>
      <diagonal/>
    </border>
    <border>
      <left style="thin">
        <color rgb="FF004E9D"/>
      </left>
      <right/>
      <top/>
      <bottom/>
      <diagonal/>
    </border>
    <border>
      <left style="thin">
        <color rgb="FF004E9D"/>
      </left>
      <right/>
      <top/>
      <bottom style="thin">
        <color rgb="FF004E9D"/>
      </bottom>
      <diagonal/>
    </border>
    <border>
      <left/>
      <right/>
      <top/>
      <bottom style="thin">
        <color rgb="FF004E9D"/>
      </bottom>
      <diagonal/>
    </border>
    <border>
      <left/>
      <right style="thin">
        <color rgb="FF004E9D"/>
      </right>
      <top style="thin">
        <color rgb="FF004E9D"/>
      </top>
      <bottom/>
      <diagonal/>
    </border>
    <border>
      <left/>
      <right style="thin">
        <color rgb="FF004E9D"/>
      </right>
      <top/>
      <bottom/>
      <diagonal/>
    </border>
    <border>
      <left/>
      <right style="thin">
        <color rgb="FF004E9D"/>
      </right>
      <top/>
      <bottom style="thin">
        <color rgb="FF004E9D"/>
      </bottom>
      <diagonal/>
    </border>
    <border>
      <left style="thin">
        <color rgb="FF004E9D"/>
      </left>
      <right style="thin">
        <color rgb="FF004E9D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24">
    <xf numFmtId="0" fontId="0" fillId="0" borderId="0"/>
    <xf numFmtId="179" fontId="45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10" fontId="29" fillId="0" borderId="0">
      <alignment horizontal="right"/>
    </xf>
    <xf numFmtId="0" fontId="46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7" fillId="0" borderId="0"/>
    <xf numFmtId="2" fontId="48" fillId="0" borderId="0"/>
    <xf numFmtId="0" fontId="11" fillId="0" borderId="0">
      <alignment vertical="top"/>
    </xf>
    <xf numFmtId="0" fontId="29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/>
    <xf numFmtId="0" fontId="11" fillId="0" borderId="0"/>
    <xf numFmtId="0" fontId="29" fillId="0" borderId="0"/>
    <xf numFmtId="0" fontId="29" fillId="0" borderId="0">
      <alignment vertical="center"/>
    </xf>
    <xf numFmtId="176" fontId="29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</cellStyleXfs>
  <cellXfs count="441">
    <xf numFmtId="0" fontId="0" fillId="0" borderId="0" xfId="0"/>
    <xf numFmtId="0" fontId="1" fillId="2" borderId="0" xfId="18" applyFont="1" applyFill="1"/>
    <xf numFmtId="0" fontId="1" fillId="0" borderId="0" xfId="18" applyFont="1" applyFill="1"/>
    <xf numFmtId="0" fontId="0" fillId="0" borderId="0" xfId="17" applyFont="1"/>
    <xf numFmtId="0" fontId="2" fillId="2" borderId="0" xfId="18" applyFont="1" applyFill="1" applyAlignment="1">
      <alignment vertical="center"/>
    </xf>
    <xf numFmtId="0" fontId="3" fillId="2" borderId="0" xfId="18" applyFont="1" applyFill="1" applyAlignment="1">
      <alignment vertical="center"/>
    </xf>
    <xf numFmtId="0" fontId="2" fillId="2" borderId="0" xfId="18" applyFont="1" applyFill="1" applyBorder="1" applyAlignment="1">
      <alignment horizontal="left" vertical="center" indent="1"/>
    </xf>
    <xf numFmtId="177" fontId="1" fillId="2" borderId="0" xfId="18" applyNumberFormat="1" applyFont="1" applyFill="1"/>
    <xf numFmtId="183" fontId="1" fillId="2" borderId="0" xfId="18" applyNumberFormat="1" applyFont="1" applyFill="1" applyBorder="1" applyAlignment="1">
      <alignment horizontal="center"/>
    </xf>
    <xf numFmtId="0" fontId="2" fillId="0" borderId="0" xfId="18" applyFont="1" applyFill="1" applyBorder="1" applyAlignment="1">
      <alignment horizontal="left" vertical="center" indent="1"/>
    </xf>
    <xf numFmtId="177" fontId="1" fillId="0" borderId="0" xfId="18" applyNumberFormat="1" applyFont="1" applyFill="1"/>
    <xf numFmtId="183" fontId="1" fillId="0" borderId="0" xfId="18" applyNumberFormat="1" applyFont="1" applyFill="1" applyBorder="1" applyAlignment="1">
      <alignment horizontal="center"/>
    </xf>
    <xf numFmtId="0" fontId="0" fillId="2" borderId="0" xfId="17" applyFont="1" applyFill="1"/>
    <xf numFmtId="0" fontId="4" fillId="3" borderId="1" xfId="17" applyFont="1" applyFill="1" applyBorder="1" applyAlignment="1">
      <alignment horizontal="center" vertical="center"/>
    </xf>
    <xf numFmtId="0" fontId="4" fillId="0" borderId="1" xfId="17" applyFont="1" applyBorder="1" applyAlignment="1">
      <alignment horizontal="center" vertical="center"/>
    </xf>
    <xf numFmtId="185" fontId="4" fillId="0" borderId="1" xfId="17" applyNumberFormat="1" applyFont="1" applyBorder="1" applyAlignment="1">
      <alignment horizontal="right" vertical="center"/>
    </xf>
    <xf numFmtId="182" fontId="4" fillId="0" borderId="1" xfId="17" applyNumberFormat="1" applyFont="1" applyBorder="1" applyAlignment="1">
      <alignment horizontal="right" vertical="center"/>
    </xf>
    <xf numFmtId="2" fontId="4" fillId="0" borderId="1" xfId="17" applyNumberFormat="1" applyFont="1" applyBorder="1" applyAlignment="1">
      <alignment horizontal="right" vertical="center"/>
    </xf>
    <xf numFmtId="0" fontId="4" fillId="2" borderId="0" xfId="17" applyFont="1" applyFill="1"/>
    <xf numFmtId="0" fontId="4" fillId="2" borderId="0" xfId="17" applyFont="1" applyFill="1" applyBorder="1" applyAlignment="1">
      <alignment horizontal="center"/>
    </xf>
    <xf numFmtId="3" fontId="6" fillId="2" borderId="0" xfId="17" applyNumberFormat="1" applyFont="1" applyFill="1" applyBorder="1"/>
    <xf numFmtId="0" fontId="4" fillId="2" borderId="0" xfId="17" applyFont="1" applyFill="1" applyBorder="1"/>
    <xf numFmtId="0" fontId="4" fillId="0" borderId="0" xfId="17" applyFont="1" applyBorder="1" applyAlignment="1">
      <alignment horizontal="center"/>
    </xf>
    <xf numFmtId="3" fontId="6" fillId="0" borderId="0" xfId="17" applyNumberFormat="1" applyFont="1" applyBorder="1"/>
    <xf numFmtId="182" fontId="4" fillId="0" borderId="0" xfId="17" applyNumberFormat="1" applyFont="1" applyBorder="1"/>
    <xf numFmtId="181" fontId="4" fillId="0" borderId="0" xfId="17" applyNumberFormat="1" applyFont="1" applyBorder="1"/>
    <xf numFmtId="3" fontId="7" fillId="0" borderId="0" xfId="17" applyNumberFormat="1" applyFont="1" applyBorder="1"/>
    <xf numFmtId="0" fontId="0" fillId="0" borderId="0" xfId="17" applyFont="1" applyBorder="1"/>
    <xf numFmtId="0" fontId="0" fillId="0" borderId="0" xfId="17" applyFont="1" applyBorder="1" applyAlignment="1">
      <alignment horizontal="center"/>
    </xf>
    <xf numFmtId="0" fontId="8" fillId="2" borderId="0" xfId="18" applyFont="1" applyFill="1"/>
    <xf numFmtId="0" fontId="9" fillId="2" borderId="0" xfId="4" applyFont="1" applyFill="1" applyBorder="1" applyAlignment="1" applyProtection="1">
      <alignment horizontal="left" vertical="center"/>
    </xf>
    <xf numFmtId="0" fontId="10" fillId="0" borderId="0" xfId="4" applyFont="1" applyFill="1" applyBorder="1" applyAlignment="1" applyProtection="1">
      <alignment horizontal="left" vertical="center"/>
    </xf>
    <xf numFmtId="0" fontId="10" fillId="2" borderId="0" xfId="4" applyFont="1" applyFill="1" applyBorder="1" applyAlignment="1" applyProtection="1">
      <alignment horizontal="left" vertical="center"/>
    </xf>
    <xf numFmtId="10" fontId="4" fillId="0" borderId="1" xfId="5" applyNumberFormat="1" applyFont="1" applyBorder="1" applyAlignment="1">
      <alignment horizontal="right" vertical="center"/>
    </xf>
    <xf numFmtId="2" fontId="4" fillId="2" borderId="0" xfId="17" applyNumberFormat="1" applyFont="1" applyFill="1" applyBorder="1" applyAlignment="1">
      <alignment horizontal="center"/>
    </xf>
    <xf numFmtId="2" fontId="0" fillId="2" borderId="0" xfId="17" applyNumberFormat="1" applyFont="1" applyFill="1" applyBorder="1" applyAlignment="1">
      <alignment horizontal="center"/>
    </xf>
    <xf numFmtId="2" fontId="0" fillId="0" borderId="0" xfId="17" applyNumberFormat="1" applyFont="1" applyBorder="1" applyAlignment="1">
      <alignment horizontal="center"/>
    </xf>
    <xf numFmtId="0" fontId="4" fillId="0" borderId="0" xfId="17" applyFont="1" applyBorder="1"/>
    <xf numFmtId="2" fontId="4" fillId="0" borderId="0" xfId="17" applyNumberFormat="1" applyFont="1" applyBorder="1" applyAlignment="1">
      <alignment horizontal="center"/>
    </xf>
    <xf numFmtId="0" fontId="11" fillId="2" borderId="0" xfId="18" applyFont="1" applyFill="1"/>
    <xf numFmtId="0" fontId="11" fillId="0" borderId="0" xfId="18" applyFont="1" applyFill="1"/>
    <xf numFmtId="0" fontId="12" fillId="2" borderId="0" xfId="18" applyFont="1" applyFill="1" applyAlignment="1">
      <alignment vertical="center"/>
    </xf>
    <xf numFmtId="0" fontId="13" fillId="2" borderId="0" xfId="18" applyFont="1" applyFill="1" applyAlignment="1">
      <alignment vertical="center"/>
    </xf>
    <xf numFmtId="0" fontId="14" fillId="2" borderId="0" xfId="18" applyFont="1" applyFill="1" applyBorder="1" applyAlignment="1">
      <alignment horizontal="left" vertical="center" indent="1"/>
    </xf>
    <xf numFmtId="177" fontId="11" fillId="2" borderId="0" xfId="18" applyNumberFormat="1" applyFont="1" applyFill="1"/>
    <xf numFmtId="183" fontId="11" fillId="2" borderId="0" xfId="18" applyNumberFormat="1" applyFont="1" applyFill="1" applyBorder="1" applyAlignment="1">
      <alignment horizontal="center"/>
    </xf>
    <xf numFmtId="0" fontId="14" fillId="0" borderId="0" xfId="18" applyFont="1" applyFill="1" applyBorder="1" applyAlignment="1">
      <alignment horizontal="left" vertical="center" indent="1"/>
    </xf>
    <xf numFmtId="177" fontId="11" fillId="0" borderId="0" xfId="18" applyNumberFormat="1" applyFont="1" applyFill="1"/>
    <xf numFmtId="183" fontId="11" fillId="0" borderId="0" xfId="18" applyNumberFormat="1" applyFont="1" applyFill="1" applyBorder="1" applyAlignment="1">
      <alignment horizontal="center"/>
    </xf>
    <xf numFmtId="0" fontId="0" fillId="2" borderId="0" xfId="0" applyFill="1"/>
    <xf numFmtId="0" fontId="4" fillId="3" borderId="1" xfId="0" applyFont="1" applyFill="1" applyBorder="1" applyAlignment="1">
      <alignment horizontal="center" vertical="center"/>
    </xf>
    <xf numFmtId="176" fontId="4" fillId="0" borderId="1" xfId="2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10" fontId="4" fillId="3" borderId="1" xfId="5" applyNumberFormat="1" applyFont="1" applyFill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6" fillId="2" borderId="0" xfId="18" applyFont="1" applyFill="1" applyAlignment="1">
      <alignment horizontal="right"/>
    </xf>
    <xf numFmtId="0" fontId="17" fillId="2" borderId="0" xfId="4" applyFont="1" applyFill="1" applyBorder="1" applyAlignment="1" applyProtection="1">
      <alignment horizontal="right" vertical="center"/>
    </xf>
    <xf numFmtId="0" fontId="17" fillId="2" borderId="0" xfId="4" applyFont="1" applyFill="1" applyBorder="1" applyAlignment="1" applyProtection="1">
      <alignment horizontal="left" vertical="center"/>
    </xf>
    <xf numFmtId="0" fontId="18" fillId="0" borderId="0" xfId="4" applyFont="1" applyFill="1" applyBorder="1" applyAlignment="1" applyProtection="1">
      <alignment horizontal="left" vertical="center"/>
    </xf>
    <xf numFmtId="176" fontId="4" fillId="7" borderId="1" xfId="2" applyNumberFormat="1" applyFont="1" applyFill="1" applyBorder="1" applyAlignment="1">
      <alignment horizontal="center" vertical="center"/>
    </xf>
    <xf numFmtId="0" fontId="0" fillId="0" borderId="0" xfId="0" applyFill="1"/>
    <xf numFmtId="0" fontId="0" fillId="2" borderId="0" xfId="0" applyFill="1" applyAlignment="1">
      <alignment vertical="center"/>
    </xf>
    <xf numFmtId="0" fontId="11" fillId="2" borderId="0" xfId="18" applyFont="1" applyFill="1" applyAlignment="1">
      <alignment vertical="center"/>
    </xf>
    <xf numFmtId="0" fontId="11" fillId="0" borderId="0" xfId="18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" borderId="0" xfId="18" applyFont="1" applyFill="1" applyBorder="1" applyAlignment="1">
      <alignment horizontal="left" vertical="center"/>
    </xf>
    <xf numFmtId="177" fontId="11" fillId="2" borderId="0" xfId="18" applyNumberFormat="1" applyFont="1" applyFill="1" applyAlignment="1">
      <alignment vertical="center"/>
    </xf>
    <xf numFmtId="183" fontId="11" fillId="2" borderId="0" xfId="18" applyNumberFormat="1" applyFont="1" applyFill="1" applyBorder="1" applyAlignment="1">
      <alignment horizontal="center" vertical="center"/>
    </xf>
    <xf numFmtId="0" fontId="14" fillId="0" borderId="0" xfId="18" applyFont="1" applyFill="1" applyBorder="1" applyAlignment="1">
      <alignment horizontal="left" vertical="center"/>
    </xf>
    <xf numFmtId="177" fontId="11" fillId="0" borderId="0" xfId="18" applyNumberFormat="1" applyFont="1" applyFill="1" applyAlignment="1">
      <alignment vertical="center"/>
    </xf>
    <xf numFmtId="183" fontId="11" fillId="0" borderId="0" xfId="18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186" fontId="8" fillId="0" borderId="1" xfId="2" applyNumberFormat="1" applyFont="1" applyFill="1" applyBorder="1" applyAlignment="1">
      <alignment vertical="center"/>
    </xf>
    <xf numFmtId="10" fontId="8" fillId="0" borderId="1" xfId="5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0" fontId="8" fillId="0" borderId="0" xfId="5" applyNumberFormat="1" applyFont="1" applyFill="1" applyBorder="1" applyAlignment="1">
      <alignment vertical="center"/>
    </xf>
    <xf numFmtId="186" fontId="8" fillId="0" borderId="1" xfId="21" applyNumberFormat="1" applyFont="1" applyFill="1" applyBorder="1" applyAlignment="1">
      <alignment vertical="center"/>
    </xf>
    <xf numFmtId="10" fontId="4" fillId="0" borderId="1" xfId="3" applyNumberFormat="1" applyFont="1" applyBorder="1" applyAlignment="1">
      <alignment horizontal="right" vertical="center"/>
    </xf>
    <xf numFmtId="10" fontId="8" fillId="0" borderId="1" xfId="0" applyNumberFormat="1" applyFont="1" applyFill="1" applyBorder="1" applyAlignment="1">
      <alignment vertical="center"/>
    </xf>
    <xf numFmtId="10" fontId="8" fillId="8" borderId="1" xfId="0" applyNumberFormat="1" applyFont="1" applyFill="1" applyBorder="1" applyAlignment="1">
      <alignment vertical="center"/>
    </xf>
    <xf numFmtId="14" fontId="8" fillId="8" borderId="1" xfId="0" applyNumberFormat="1" applyFont="1" applyFill="1" applyBorder="1" applyAlignment="1">
      <alignment vertical="center"/>
    </xf>
    <xf numFmtId="14" fontId="4" fillId="9" borderId="1" xfId="0" applyNumberFormat="1" applyFont="1" applyFill="1" applyBorder="1" applyAlignment="1">
      <alignment vertical="center"/>
    </xf>
    <xf numFmtId="10" fontId="8" fillId="8" borderId="1" xfId="5" applyNumberFormat="1" applyFont="1" applyFill="1" applyBorder="1" applyAlignment="1">
      <alignment vertical="center"/>
    </xf>
    <xf numFmtId="10" fontId="8" fillId="8" borderId="1" xfId="3" applyNumberFormat="1" applyFont="1" applyFill="1" applyBorder="1" applyAlignment="1">
      <alignment horizontal="right" vertical="center"/>
    </xf>
    <xf numFmtId="10" fontId="8" fillId="0" borderId="1" xfId="3" applyNumberFormat="1" applyFont="1" applyFill="1" applyBorder="1" applyAlignment="1">
      <alignment horizontal="right" vertical="center"/>
    </xf>
    <xf numFmtId="0" fontId="4" fillId="0" borderId="1" xfId="17" applyFont="1" applyBorder="1" applyAlignment="1">
      <alignment horizontal="left" vertical="center"/>
    </xf>
    <xf numFmtId="190" fontId="8" fillId="8" borderId="1" xfId="2" applyNumberFormat="1" applyFont="1" applyFill="1" applyBorder="1" applyAlignment="1">
      <alignment vertical="center"/>
    </xf>
    <xf numFmtId="190" fontId="8" fillId="0" borderId="1" xfId="0" applyNumberFormat="1" applyFont="1" applyFill="1" applyBorder="1" applyAlignment="1">
      <alignment vertical="center"/>
    </xf>
    <xf numFmtId="190" fontId="8" fillId="0" borderId="0" xfId="0" applyNumberFormat="1" applyFont="1" applyFill="1" applyAlignment="1">
      <alignment vertical="center"/>
    </xf>
    <xf numFmtId="10" fontId="8" fillId="0" borderId="0" xfId="0" applyNumberFormat="1" applyFont="1" applyFill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176" fontId="8" fillId="0" borderId="1" xfId="21" applyFont="1" applyFill="1" applyBorder="1" applyAlignment="1">
      <alignment vertical="center"/>
    </xf>
    <xf numFmtId="186" fontId="8" fillId="0" borderId="0" xfId="2" applyNumberFormat="1" applyFont="1" applyFill="1" applyBorder="1" applyAlignment="1">
      <alignment vertical="center"/>
    </xf>
    <xf numFmtId="176" fontId="8" fillId="0" borderId="1" xfId="21" applyNumberFormat="1" applyFont="1" applyFill="1" applyBorder="1" applyAlignment="1">
      <alignment vertical="center"/>
    </xf>
    <xf numFmtId="186" fontId="8" fillId="0" borderId="0" xfId="2" applyNumberFormat="1" applyFont="1" applyFill="1" applyAlignment="1">
      <alignment vertical="center"/>
    </xf>
    <xf numFmtId="176" fontId="8" fillId="0" borderId="1" xfId="2" applyNumberFormat="1" applyFont="1" applyFill="1" applyBorder="1" applyAlignment="1">
      <alignment vertical="center"/>
    </xf>
    <xf numFmtId="176" fontId="19" fillId="0" borderId="1" xfId="2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193" fontId="8" fillId="8" borderId="1" xfId="5" applyNumberFormat="1" applyFont="1" applyFill="1" applyBorder="1" applyAlignment="1">
      <alignment vertical="center"/>
    </xf>
    <xf numFmtId="10" fontId="8" fillId="8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2" borderId="0" xfId="18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0" xfId="18" applyFont="1" applyFill="1" applyAlignment="1">
      <alignment vertical="center"/>
    </xf>
    <xf numFmtId="0" fontId="1" fillId="0" borderId="0" xfId="18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18" applyFont="1" applyFill="1" applyAlignment="1">
      <alignment vertical="center"/>
    </xf>
    <xf numFmtId="0" fontId="22" fillId="2" borderId="0" xfId="18" applyFont="1" applyFill="1" applyBorder="1" applyAlignment="1">
      <alignment horizontal="left" vertical="center"/>
    </xf>
    <xf numFmtId="177" fontId="1" fillId="2" borderId="0" xfId="18" applyNumberFormat="1" applyFont="1" applyFill="1" applyAlignment="1">
      <alignment vertical="center"/>
    </xf>
    <xf numFmtId="0" fontId="22" fillId="0" borderId="0" xfId="18" applyFont="1" applyFill="1" applyBorder="1" applyAlignment="1">
      <alignment horizontal="left" vertical="center"/>
    </xf>
    <xf numFmtId="177" fontId="1" fillId="0" borderId="0" xfId="18" applyNumberFormat="1" applyFont="1" applyFill="1" applyAlignment="1">
      <alignment vertical="center"/>
    </xf>
    <xf numFmtId="0" fontId="4" fillId="3" borderId="1" xfId="0" applyNumberFormat="1" applyFont="1" applyFill="1" applyBorder="1" applyAlignment="1">
      <alignment horizontal="right" vertical="center"/>
    </xf>
    <xf numFmtId="189" fontId="19" fillId="10" borderId="1" xfId="1" applyNumberFormat="1" applyFont="1" applyFill="1" applyBorder="1" applyAlignment="1">
      <alignment vertical="center"/>
    </xf>
    <xf numFmtId="189" fontId="8" fillId="10" borderId="1" xfId="1" applyNumberFormat="1" applyFont="1" applyFill="1" applyBorder="1" applyAlignment="1">
      <alignment vertical="center"/>
    </xf>
    <xf numFmtId="186" fontId="4" fillId="0" borderId="1" xfId="2" applyNumberFormat="1" applyFont="1" applyFill="1" applyBorder="1" applyAlignment="1">
      <alignment vertical="center"/>
    </xf>
    <xf numFmtId="189" fontId="8" fillId="10" borderId="1" xfId="1" applyNumberFormat="1" applyFont="1" applyFill="1" applyBorder="1" applyAlignment="1">
      <alignment horizontal="right" vertical="center"/>
    </xf>
    <xf numFmtId="189" fontId="19" fillId="10" borderId="1" xfId="1" applyNumberFormat="1" applyFont="1" applyFill="1" applyBorder="1" applyAlignment="1">
      <alignment horizontal="left" vertical="center"/>
    </xf>
    <xf numFmtId="189" fontId="8" fillId="10" borderId="1" xfId="1" applyNumberFormat="1" applyFont="1" applyFill="1" applyBorder="1" applyAlignment="1">
      <alignment horizontal="left" vertical="center"/>
    </xf>
    <xf numFmtId="189" fontId="19" fillId="10" borderId="3" xfId="1" applyNumberFormat="1" applyFont="1" applyFill="1" applyBorder="1" applyAlignment="1">
      <alignment vertical="center"/>
    </xf>
    <xf numFmtId="189" fontId="8" fillId="10" borderId="4" xfId="1" applyNumberFormat="1" applyFont="1" applyFill="1" applyBorder="1" applyAlignment="1">
      <alignment vertical="center"/>
    </xf>
    <xf numFmtId="186" fontId="8" fillId="0" borderId="4" xfId="2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189" fontId="8" fillId="0" borderId="1" xfId="1" applyNumberFormat="1" applyFont="1" applyFill="1" applyBorder="1" applyAlignment="1">
      <alignment horizontal="left" vertical="center"/>
    </xf>
    <xf numFmtId="183" fontId="1" fillId="2" borderId="0" xfId="18" applyNumberFormat="1" applyFont="1" applyFill="1" applyBorder="1" applyAlignment="1">
      <alignment horizontal="center" vertical="center"/>
    </xf>
    <xf numFmtId="0" fontId="9" fillId="2" borderId="0" xfId="4" applyFont="1" applyFill="1" applyBorder="1" applyAlignment="1" applyProtection="1">
      <alignment horizontal="right" vertical="center"/>
    </xf>
    <xf numFmtId="183" fontId="1" fillId="0" borderId="0" xfId="18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86" fontId="4" fillId="0" borderId="9" xfId="2" applyNumberFormat="1" applyFont="1" applyFill="1" applyBorder="1" applyAlignment="1">
      <alignment horizontal="center" vertical="center"/>
    </xf>
    <xf numFmtId="186" fontId="4" fillId="0" borderId="2" xfId="2" applyNumberFormat="1" applyFont="1" applyFill="1" applyBorder="1" applyAlignment="1">
      <alignment vertical="center"/>
    </xf>
    <xf numFmtId="186" fontId="4" fillId="0" borderId="4" xfId="2" applyNumberFormat="1" applyFont="1" applyFill="1" applyBorder="1" applyAlignment="1">
      <alignment vertical="center"/>
    </xf>
    <xf numFmtId="186" fontId="4" fillId="0" borderId="6" xfId="2" applyNumberFormat="1" applyFont="1" applyFill="1" applyBorder="1" applyAlignment="1">
      <alignment vertical="center"/>
    </xf>
    <xf numFmtId="186" fontId="4" fillId="0" borderId="0" xfId="2" applyNumberFormat="1" applyFont="1" applyFill="1" applyBorder="1" applyAlignment="1">
      <alignment vertical="center"/>
    </xf>
    <xf numFmtId="186" fontId="0" fillId="2" borderId="0" xfId="2" applyNumberFormat="1" applyFont="1" applyFill="1" applyAlignment="1">
      <alignment vertical="center"/>
    </xf>
    <xf numFmtId="189" fontId="8" fillId="0" borderId="1" xfId="1" applyNumberFormat="1" applyFont="1" applyFill="1" applyBorder="1" applyAlignment="1">
      <alignment vertical="center"/>
    </xf>
    <xf numFmtId="189" fontId="19" fillId="0" borderId="1" xfId="1" applyNumberFormat="1" applyFont="1" applyFill="1" applyBorder="1" applyAlignment="1">
      <alignment horizontal="left" vertical="center"/>
    </xf>
    <xf numFmtId="186" fontId="4" fillId="0" borderId="1" xfId="21" applyNumberFormat="1" applyFont="1" applyFill="1" applyBorder="1" applyAlignment="1">
      <alignment vertical="center"/>
    </xf>
    <xf numFmtId="0" fontId="16" fillId="0" borderId="0" xfId="18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3" fillId="2" borderId="0" xfId="18" applyFont="1" applyFill="1" applyAlignment="1">
      <alignment vertical="center"/>
    </xf>
    <xf numFmtId="0" fontId="24" fillId="2" borderId="0" xfId="18" applyFont="1" applyFill="1" applyAlignment="1">
      <alignment vertical="center"/>
    </xf>
    <xf numFmtId="0" fontId="25" fillId="2" borderId="0" xfId="18" applyFont="1" applyFill="1" applyBorder="1" applyAlignment="1">
      <alignment horizontal="left" vertical="center"/>
    </xf>
    <xf numFmtId="177" fontId="16" fillId="2" borderId="0" xfId="18" applyNumberFormat="1" applyFont="1" applyFill="1" applyAlignment="1">
      <alignment vertical="center"/>
    </xf>
    <xf numFmtId="0" fontId="25" fillId="0" borderId="0" xfId="18" applyFont="1" applyFill="1" applyBorder="1" applyAlignment="1">
      <alignment horizontal="left" vertical="center"/>
    </xf>
    <xf numFmtId="176" fontId="16" fillId="0" borderId="0" xfId="2" applyFont="1" applyFill="1" applyAlignment="1">
      <alignment vertical="center"/>
    </xf>
    <xf numFmtId="193" fontId="16" fillId="0" borderId="0" xfId="5" applyNumberFormat="1" applyFont="1" applyFill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186" fontId="5" fillId="0" borderId="1" xfId="2" applyNumberFormat="1" applyFont="1" applyFill="1" applyBorder="1" applyAlignment="1">
      <alignment vertical="center"/>
    </xf>
    <xf numFmtId="9" fontId="5" fillId="0" borderId="1" xfId="5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93" fontId="5" fillId="0" borderId="1" xfId="5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186" fontId="4" fillId="0" borderId="1" xfId="2" applyNumberFormat="1" applyFont="1" applyBorder="1" applyAlignment="1">
      <alignment vertical="center"/>
    </xf>
    <xf numFmtId="10" fontId="4" fillId="0" borderId="1" xfId="5" applyNumberFormat="1" applyFont="1" applyFill="1" applyBorder="1" applyAlignment="1">
      <alignment vertical="center"/>
    </xf>
    <xf numFmtId="186" fontId="4" fillId="2" borderId="0" xfId="2" applyNumberFormat="1" applyFont="1" applyFill="1" applyAlignment="1">
      <alignment vertical="center"/>
    </xf>
    <xf numFmtId="186" fontId="4" fillId="0" borderId="0" xfId="2" applyNumberFormat="1" applyFont="1" applyAlignment="1">
      <alignment vertical="center"/>
    </xf>
    <xf numFmtId="183" fontId="16" fillId="2" borderId="0" xfId="18" applyNumberFormat="1" applyFont="1" applyFill="1" applyBorder="1" applyAlignment="1">
      <alignment horizontal="center" vertical="center"/>
    </xf>
    <xf numFmtId="10" fontId="4" fillId="0" borderId="3" xfId="5" applyNumberFormat="1" applyFont="1" applyFill="1" applyBorder="1" applyAlignment="1">
      <alignment vertical="center"/>
    </xf>
    <xf numFmtId="183" fontId="16" fillId="0" borderId="0" xfId="18" applyNumberFormat="1" applyFont="1" applyFill="1" applyBorder="1" applyAlignment="1">
      <alignment horizontal="center" vertical="center"/>
    </xf>
    <xf numFmtId="186" fontId="5" fillId="2" borderId="0" xfId="2" applyNumberFormat="1" applyFont="1" applyFill="1" applyAlignment="1">
      <alignment vertical="center"/>
    </xf>
    <xf numFmtId="186" fontId="4" fillId="8" borderId="1" xfId="2" applyNumberFormat="1" applyFont="1" applyFill="1" applyBorder="1" applyAlignment="1">
      <alignment vertical="center"/>
    </xf>
    <xf numFmtId="186" fontId="4" fillId="0" borderId="0" xfId="0" applyNumberFormat="1" applyFont="1" applyAlignment="1">
      <alignment vertical="center"/>
    </xf>
    <xf numFmtId="9" fontId="4" fillId="0" borderId="0" xfId="5" applyFont="1" applyAlignment="1">
      <alignment vertical="center"/>
    </xf>
    <xf numFmtId="0" fontId="8" fillId="2" borderId="0" xfId="18" applyFont="1" applyFill="1" applyAlignment="1">
      <alignment vertical="center"/>
    </xf>
    <xf numFmtId="0" fontId="8" fillId="0" borderId="0" xfId="18" applyFont="1" applyFill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18" applyFont="1" applyFill="1" applyAlignment="1">
      <alignment vertical="center"/>
    </xf>
    <xf numFmtId="0" fontId="19" fillId="2" borderId="0" xfId="18" applyFont="1" applyFill="1" applyBorder="1" applyAlignment="1">
      <alignment horizontal="left" vertical="center"/>
    </xf>
    <xf numFmtId="177" fontId="8" fillId="2" borderId="0" xfId="18" applyNumberFormat="1" applyFont="1" applyFill="1" applyAlignment="1">
      <alignment vertical="center"/>
    </xf>
    <xf numFmtId="0" fontId="19" fillId="0" borderId="0" xfId="18" applyFont="1" applyFill="1" applyBorder="1" applyAlignment="1">
      <alignment horizontal="left" vertical="center"/>
    </xf>
    <xf numFmtId="177" fontId="8" fillId="0" borderId="0" xfId="18" applyNumberFormat="1" applyFont="1" applyFill="1" applyAlignment="1">
      <alignment vertical="center"/>
    </xf>
    <xf numFmtId="0" fontId="19" fillId="0" borderId="1" xfId="0" applyFont="1" applyBorder="1" applyAlignment="1">
      <alignment vertical="center"/>
    </xf>
    <xf numFmtId="192" fontId="4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10" fontId="4" fillId="0" borderId="1" xfId="5" applyNumberFormat="1" applyFont="1" applyBorder="1" applyAlignment="1">
      <alignment vertical="center"/>
    </xf>
    <xf numFmtId="192" fontId="8" fillId="0" borderId="1" xfId="0" applyNumberFormat="1" applyFont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10" fontId="8" fillId="0" borderId="1" xfId="5" applyNumberFormat="1" applyFont="1" applyBorder="1" applyAlignment="1">
      <alignment vertical="center"/>
    </xf>
    <xf numFmtId="192" fontId="8" fillId="0" borderId="1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188" fontId="8" fillId="0" borderId="1" xfId="0" applyNumberFormat="1" applyFont="1" applyBorder="1" applyAlignment="1">
      <alignment vertical="center"/>
    </xf>
    <xf numFmtId="183" fontId="8" fillId="2" borderId="0" xfId="18" applyNumberFormat="1" applyFont="1" applyFill="1" applyBorder="1" applyAlignment="1">
      <alignment horizontal="center" vertical="center"/>
    </xf>
    <xf numFmtId="183" fontId="8" fillId="0" borderId="0" xfId="18" applyNumberFormat="1" applyFont="1" applyFill="1" applyBorder="1" applyAlignment="1">
      <alignment horizontal="center" vertical="center"/>
    </xf>
    <xf numFmtId="10" fontId="4" fillId="0" borderId="0" xfId="0" applyNumberFormat="1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8" fillId="2" borderId="0" xfId="18" applyFont="1" applyFill="1" applyAlignment="1">
      <alignment vertical="center"/>
    </xf>
    <xf numFmtId="0" fontId="28" fillId="2" borderId="0" xfId="18" applyFont="1" applyFill="1" applyBorder="1" applyAlignment="1">
      <alignment horizontal="left" vertical="center"/>
    </xf>
    <xf numFmtId="0" fontId="28" fillId="0" borderId="0" xfId="18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91" fontId="4" fillId="0" borderId="1" xfId="0" applyNumberFormat="1" applyFont="1" applyBorder="1" applyAlignment="1">
      <alignment vertical="center"/>
    </xf>
    <xf numFmtId="186" fontId="8" fillId="0" borderId="1" xfId="21" applyNumberFormat="1" applyFont="1" applyBorder="1" applyAlignment="1">
      <alignment vertical="center"/>
    </xf>
    <xf numFmtId="186" fontId="4" fillId="8" borderId="1" xfId="2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vertical="center"/>
    </xf>
    <xf numFmtId="4" fontId="0" fillId="0" borderId="0" xfId="0" applyNumberFormat="1" applyFont="1" applyAlignment="1">
      <alignment vertical="center"/>
    </xf>
    <xf numFmtId="186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2" borderId="0" xfId="18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186" fontId="8" fillId="0" borderId="1" xfId="2" applyNumberFormat="1" applyFont="1" applyBorder="1" applyAlignment="1">
      <alignment vertical="center"/>
    </xf>
    <xf numFmtId="186" fontId="20" fillId="0" borderId="1" xfId="2" applyNumberFormat="1" applyFont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10" fontId="4" fillId="8" borderId="1" xfId="5" applyNumberFormat="1" applyFont="1" applyFill="1" applyBorder="1" applyAlignment="1">
      <alignment vertical="center"/>
    </xf>
    <xf numFmtId="186" fontId="4" fillId="0" borderId="1" xfId="21" applyNumberFormat="1" applyFont="1" applyBorder="1" applyAlignment="1">
      <alignment vertical="center"/>
    </xf>
    <xf numFmtId="10" fontId="8" fillId="0" borderId="1" xfId="7" applyNumberFormat="1" applyFont="1" applyBorder="1" applyAlignment="1">
      <alignment vertical="center"/>
    </xf>
    <xf numFmtId="186" fontId="8" fillId="8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91" fontId="20" fillId="0" borderId="1" xfId="0" applyNumberFormat="1" applyFont="1" applyBorder="1" applyAlignment="1">
      <alignment vertical="center"/>
    </xf>
    <xf numFmtId="186" fontId="4" fillId="0" borderId="0" xfId="2" applyNumberFormat="1" applyFont="1" applyFill="1" applyAlignment="1">
      <alignment vertical="center"/>
    </xf>
    <xf numFmtId="186" fontId="0" fillId="0" borderId="0" xfId="0" applyNumberFormat="1" applyFont="1" applyFill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0" fillId="2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2" fontId="4" fillId="8" borderId="1" xfId="0" applyNumberFormat="1" applyFont="1" applyFill="1" applyBorder="1" applyAlignment="1">
      <alignment horizontal="right" vertical="center"/>
    </xf>
    <xf numFmtId="3" fontId="4" fillId="8" borderId="1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10" fontId="4" fillId="8" borderId="1" xfId="0" applyNumberFormat="1" applyFont="1" applyFill="1" applyBorder="1" applyAlignment="1">
      <alignment horizontal="center" vertical="center"/>
    </xf>
    <xf numFmtId="10" fontId="4" fillId="8" borderId="1" xfId="5" applyNumberFormat="1" applyFont="1" applyFill="1" applyBorder="1" applyAlignment="1">
      <alignment horizontal="center" vertical="center"/>
    </xf>
    <xf numFmtId="0" fontId="29" fillId="0" borderId="0" xfId="15">
      <alignment vertical="center"/>
    </xf>
    <xf numFmtId="0" fontId="30" fillId="11" borderId="16" xfId="15" applyFont="1" applyFill="1" applyBorder="1" applyAlignment="1">
      <alignment horizontal="center" vertical="center"/>
    </xf>
    <xf numFmtId="0" fontId="29" fillId="11" borderId="16" xfId="15" applyFill="1" applyBorder="1">
      <alignment vertical="center"/>
    </xf>
    <xf numFmtId="49" fontId="31" fillId="12" borderId="16" xfId="15" applyNumberFormat="1" applyFont="1" applyFill="1" applyBorder="1" applyAlignment="1">
      <alignment horizontal="left" vertical="center"/>
    </xf>
    <xf numFmtId="187" fontId="31" fillId="12" borderId="16" xfId="15" applyNumberFormat="1" applyFont="1" applyFill="1" applyBorder="1" applyAlignment="1">
      <alignment horizontal="right" vertical="center"/>
    </xf>
    <xf numFmtId="49" fontId="31" fillId="13" borderId="16" xfId="15" applyNumberFormat="1" applyFont="1" applyFill="1" applyBorder="1" applyAlignment="1">
      <alignment horizontal="left" vertical="center"/>
    </xf>
    <xf numFmtId="178" fontId="31" fillId="14" borderId="16" xfId="15" applyNumberFormat="1" applyFont="1" applyFill="1" applyBorder="1" applyAlignment="1">
      <alignment horizontal="right" vertical="center"/>
    </xf>
    <xf numFmtId="178" fontId="31" fillId="0" borderId="0" xfId="15" applyNumberFormat="1" applyFont="1" applyAlignment="1">
      <alignment horizontal="right" vertical="center"/>
    </xf>
    <xf numFmtId="49" fontId="31" fillId="13" borderId="0" xfId="15" applyNumberFormat="1" applyFont="1" applyFill="1" applyBorder="1" applyAlignment="1">
      <alignment horizontal="left" vertical="center"/>
    </xf>
    <xf numFmtId="193" fontId="29" fillId="0" borderId="0" xfId="5" applyNumberFormat="1">
      <alignment vertical="center"/>
    </xf>
    <xf numFmtId="193" fontId="0" fillId="0" borderId="0" xfId="11" applyNumberFormat="1" applyFont="1">
      <alignment vertical="center"/>
    </xf>
    <xf numFmtId="193" fontId="29" fillId="0" borderId="0" xfId="15" applyNumberFormat="1">
      <alignment vertical="center"/>
    </xf>
    <xf numFmtId="0" fontId="32" fillId="11" borderId="16" xfId="0" applyFont="1" applyFill="1" applyBorder="1" applyAlignment="1">
      <alignment vertical="center"/>
    </xf>
    <xf numFmtId="0" fontId="0" fillId="11" borderId="16" xfId="0" applyFill="1" applyBorder="1" applyAlignment="1">
      <alignment vertical="center"/>
    </xf>
    <xf numFmtId="49" fontId="31" fillId="12" borderId="16" xfId="0" applyNumberFormat="1" applyFont="1" applyFill="1" applyBorder="1" applyAlignment="1">
      <alignment horizontal="left" vertical="center"/>
    </xf>
    <xf numFmtId="187" fontId="31" fillId="12" borderId="16" xfId="0" applyNumberFormat="1" applyFont="1" applyFill="1" applyBorder="1" applyAlignment="1">
      <alignment horizontal="right" vertical="center"/>
    </xf>
    <xf numFmtId="49" fontId="31" fillId="13" borderId="16" xfId="0" applyNumberFormat="1" applyFont="1" applyFill="1" applyBorder="1" applyAlignment="1">
      <alignment horizontal="left" vertical="center"/>
    </xf>
    <xf numFmtId="178" fontId="31" fillId="14" borderId="16" xfId="0" applyNumberFormat="1" applyFont="1" applyFill="1" applyBorder="1" applyAlignment="1">
      <alignment horizontal="right" vertical="center"/>
    </xf>
    <xf numFmtId="178" fontId="31" fillId="0" borderId="0" xfId="0" applyNumberFormat="1" applyFont="1" applyAlignment="1">
      <alignment horizontal="right" vertical="center"/>
    </xf>
    <xf numFmtId="49" fontId="31" fillId="13" borderId="0" xfId="0" applyNumberFormat="1" applyFont="1" applyFill="1" applyBorder="1" applyAlignment="1">
      <alignment horizontal="left" vertical="center"/>
    </xf>
    <xf numFmtId="178" fontId="0" fillId="0" borderId="0" xfId="0" applyNumberFormat="1" applyAlignment="1">
      <alignment vertical="center"/>
    </xf>
    <xf numFmtId="180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193" fontId="0" fillId="0" borderId="0" xfId="5" applyNumberFormat="1" applyFont="1">
      <alignment vertical="center"/>
    </xf>
    <xf numFmtId="0" fontId="30" fillId="11" borderId="16" xfId="0" applyFont="1" applyFill="1" applyBorder="1" applyAlignment="1">
      <alignment horizontal="center" vertical="center"/>
    </xf>
    <xf numFmtId="0" fontId="32" fillId="11" borderId="16" xfId="15" applyFont="1" applyFill="1" applyBorder="1">
      <alignment vertical="center"/>
    </xf>
    <xf numFmtId="0" fontId="29" fillId="11" borderId="0" xfId="15" applyFill="1" applyBorder="1">
      <alignment vertical="center"/>
    </xf>
    <xf numFmtId="0" fontId="31" fillId="12" borderId="16" xfId="15" applyNumberFormat="1" applyFont="1" applyFill="1" applyBorder="1" applyAlignment="1">
      <alignment horizontal="right" vertical="center"/>
    </xf>
    <xf numFmtId="178" fontId="31" fillId="14" borderId="0" xfId="15" applyNumberFormat="1" applyFont="1" applyFill="1" applyBorder="1" applyAlignment="1">
      <alignment horizontal="right" vertical="center"/>
    </xf>
    <xf numFmtId="178" fontId="31" fillId="8" borderId="0" xfId="15" applyNumberFormat="1" applyFont="1" applyFill="1" applyAlignment="1">
      <alignment horizontal="right" vertical="center"/>
    </xf>
    <xf numFmtId="49" fontId="33" fillId="13" borderId="16" xfId="15" applyNumberFormat="1" applyFont="1" applyFill="1" applyBorder="1" applyAlignment="1">
      <alignment horizontal="left" vertical="center"/>
    </xf>
    <xf numFmtId="193" fontId="31" fillId="0" borderId="0" xfId="11" applyNumberFormat="1" applyFont="1" applyAlignment="1">
      <alignment horizontal="right" vertical="center"/>
    </xf>
    <xf numFmtId="193" fontId="31" fillId="8" borderId="0" xfId="11" applyNumberFormat="1" applyFont="1" applyFill="1" applyAlignment="1">
      <alignment horizontal="right" vertical="center"/>
    </xf>
    <xf numFmtId="49" fontId="33" fillId="13" borderId="0" xfId="15" applyNumberFormat="1" applyFont="1" applyFill="1" applyBorder="1" applyAlignment="1">
      <alignment horizontal="left" vertical="center"/>
    </xf>
    <xf numFmtId="49" fontId="34" fillId="13" borderId="16" xfId="15" applyNumberFormat="1" applyFont="1" applyFill="1" applyBorder="1" applyAlignment="1">
      <alignment horizontal="left" vertical="center"/>
    </xf>
    <xf numFmtId="184" fontId="31" fillId="14" borderId="16" xfId="15" applyNumberFormat="1" applyFont="1" applyFill="1" applyBorder="1" applyAlignment="1">
      <alignment horizontal="right" vertical="center"/>
    </xf>
    <xf numFmtId="184" fontId="31" fillId="14" borderId="0" xfId="15" applyNumberFormat="1" applyFont="1" applyFill="1" applyBorder="1" applyAlignment="1">
      <alignment horizontal="right" vertical="center"/>
    </xf>
    <xf numFmtId="184" fontId="31" fillId="0" borderId="0" xfId="15" applyNumberFormat="1" applyFont="1" applyAlignment="1">
      <alignment horizontal="right" vertical="center"/>
    </xf>
    <xf numFmtId="10" fontId="31" fillId="8" borderId="0" xfId="23" applyNumberFormat="1" applyFont="1" applyFill="1" applyAlignment="1">
      <alignment horizontal="right" vertical="center"/>
    </xf>
    <xf numFmtId="10" fontId="31" fillId="14" borderId="16" xfId="5" applyNumberFormat="1" applyFont="1" applyFill="1" applyBorder="1" applyAlignment="1">
      <alignment horizontal="right" vertical="center"/>
    </xf>
    <xf numFmtId="10" fontId="31" fillId="0" borderId="0" xfId="5" applyNumberFormat="1" applyFont="1" applyAlignment="1">
      <alignment horizontal="right" vertical="center"/>
    </xf>
    <xf numFmtId="193" fontId="31" fillId="0" borderId="0" xfId="5" applyNumberFormat="1" applyFont="1" applyAlignment="1">
      <alignment horizontal="right" vertical="center"/>
    </xf>
    <xf numFmtId="10" fontId="31" fillId="0" borderId="0" xfId="11" applyNumberFormat="1" applyFont="1" applyAlignment="1">
      <alignment horizontal="right" vertical="center"/>
    </xf>
    <xf numFmtId="10" fontId="31" fillId="8" borderId="0" xfId="5" applyNumberFormat="1" applyFont="1" applyFill="1" applyAlignment="1">
      <alignment horizontal="right" vertical="center"/>
    </xf>
    <xf numFmtId="178" fontId="31" fillId="15" borderId="0" xfId="15" applyNumberFormat="1" applyFont="1" applyFill="1" applyBorder="1" applyAlignment="1">
      <alignment horizontal="right" vertical="center"/>
    </xf>
    <xf numFmtId="9" fontId="29" fillId="0" borderId="0" xfId="15" applyNumberFormat="1">
      <alignment vertical="center"/>
    </xf>
    <xf numFmtId="9" fontId="31" fillId="14" borderId="16" xfId="5" applyFont="1" applyFill="1" applyBorder="1" applyAlignment="1">
      <alignment horizontal="right" vertical="center"/>
    </xf>
    <xf numFmtId="49" fontId="31" fillId="13" borderId="17" xfId="15" applyNumberFormat="1" applyFont="1" applyFill="1" applyBorder="1" applyAlignment="1">
      <alignment horizontal="left" vertical="center"/>
    </xf>
    <xf numFmtId="0" fontId="11" fillId="2" borderId="0" xfId="18" applyFont="1" applyFill="1" applyBorder="1"/>
    <xf numFmtId="0" fontId="11" fillId="0" borderId="0" xfId="18" applyFont="1" applyFill="1" applyBorder="1"/>
    <xf numFmtId="0" fontId="16" fillId="2" borderId="0" xfId="18" applyFont="1" applyFill="1" applyBorder="1" applyAlignment="1">
      <alignment vertical="center"/>
    </xf>
    <xf numFmtId="0" fontId="16" fillId="2" borderId="0" xfId="18" applyFont="1" applyFill="1" applyBorder="1"/>
    <xf numFmtId="0" fontId="35" fillId="2" borderId="0" xfId="18" applyFont="1" applyFill="1" applyBorder="1"/>
    <xf numFmtId="0" fontId="16" fillId="0" borderId="0" xfId="18" applyFont="1" applyFill="1" applyBorder="1" applyAlignment="1">
      <alignment vertical="center"/>
    </xf>
    <xf numFmtId="0" fontId="16" fillId="0" borderId="0" xfId="18" applyFont="1" applyFill="1" applyBorder="1"/>
    <xf numFmtId="0" fontId="8" fillId="8" borderId="1" xfId="18" applyFont="1" applyFill="1" applyBorder="1"/>
    <xf numFmtId="0" fontId="4" fillId="0" borderId="1" xfId="0" applyFont="1" applyBorder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1" xfId="18" applyFont="1" applyFill="1" applyBorder="1"/>
    <xf numFmtId="0" fontId="36" fillId="2" borderId="9" xfId="18" applyFont="1" applyFill="1" applyBorder="1" applyAlignment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  <protection hidden="1"/>
    </xf>
    <xf numFmtId="0" fontId="36" fillId="2" borderId="3" xfId="18" applyFont="1" applyFill="1" applyBorder="1" applyAlignment="1">
      <alignment horizontal="center" vertical="center"/>
    </xf>
    <xf numFmtId="0" fontId="36" fillId="16" borderId="10" xfId="18" applyFont="1" applyFill="1" applyBorder="1" applyAlignment="1">
      <alignment horizontal="center" vertical="center"/>
    </xf>
    <xf numFmtId="0" fontId="36" fillId="16" borderId="3" xfId="18" applyFont="1" applyFill="1" applyBorder="1" applyAlignment="1">
      <alignment horizontal="center" vertical="center"/>
    </xf>
    <xf numFmtId="0" fontId="36" fillId="17" borderId="7" xfId="18" applyFont="1" applyFill="1" applyBorder="1" applyAlignment="1">
      <alignment horizontal="center" vertical="center"/>
    </xf>
    <xf numFmtId="0" fontId="36" fillId="17" borderId="3" xfId="18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4" fillId="0" borderId="6" xfId="0" applyFont="1" applyBorder="1" applyAlignment="1">
      <alignment vertical="center"/>
    </xf>
    <xf numFmtId="0" fontId="11" fillId="2" borderId="0" xfId="18" applyFill="1"/>
    <xf numFmtId="0" fontId="11" fillId="2" borderId="0" xfId="18" applyFont="1" applyFill="1" applyBorder="1" applyAlignment="1">
      <alignment vertical="center"/>
    </xf>
    <xf numFmtId="0" fontId="37" fillId="2" borderId="0" xfId="18" applyFont="1" applyFill="1" applyBorder="1"/>
    <xf numFmtId="0" fontId="38" fillId="2" borderId="0" xfId="18" applyFont="1" applyFill="1" applyBorder="1" applyAlignment="1">
      <alignment vertical="center" wrapText="1"/>
    </xf>
    <xf numFmtId="0" fontId="39" fillId="2" borderId="0" xfId="18" applyFont="1" applyFill="1" applyBorder="1" applyAlignment="1">
      <alignment vertical="center" wrapText="1"/>
    </xf>
    <xf numFmtId="0" fontId="40" fillId="2" borderId="0" xfId="18" applyFont="1" applyFill="1" applyBorder="1"/>
    <xf numFmtId="0" fontId="13" fillId="2" borderId="0" xfId="18" applyFont="1" applyFill="1" applyBorder="1"/>
    <xf numFmtId="0" fontId="13" fillId="2" borderId="0" xfId="18" applyFont="1" applyFill="1" applyBorder="1" applyAlignment="1">
      <alignment horizontal="center" vertical="center" wrapText="1"/>
    </xf>
    <xf numFmtId="0" fontId="41" fillId="2" borderId="0" xfId="18" applyFont="1" applyFill="1" applyBorder="1" applyAlignment="1">
      <alignment horizontal="center" vertical="center"/>
    </xf>
    <xf numFmtId="0" fontId="42" fillId="2" borderId="0" xfId="18" applyFont="1" applyFill="1" applyBorder="1" applyAlignment="1">
      <alignment vertical="center" wrapText="1"/>
    </xf>
    <xf numFmtId="0" fontId="43" fillId="2" borderId="0" xfId="18" applyFont="1" applyFill="1" applyBorder="1" applyAlignment="1">
      <alignment vertical="center"/>
    </xf>
    <xf numFmtId="0" fontId="22" fillId="2" borderId="0" xfId="18" applyFont="1" applyFill="1" applyBorder="1" applyAlignment="1">
      <alignment vertical="center"/>
    </xf>
    <xf numFmtId="0" fontId="43" fillId="2" borderId="0" xfId="18" applyFont="1" applyFill="1" applyBorder="1" applyAlignment="1"/>
    <xf numFmtId="49" fontId="43" fillId="2" borderId="0" xfId="18" applyNumberFormat="1" applyFont="1" applyFill="1" applyBorder="1" applyAlignment="1">
      <alignment horizontal="left"/>
    </xf>
    <xf numFmtId="0" fontId="43" fillId="2" borderId="0" xfId="18" applyFont="1" applyFill="1" applyBorder="1" applyAlignment="1">
      <alignment horizontal="left"/>
    </xf>
    <xf numFmtId="0" fontId="43" fillId="2" borderId="0" xfId="18" applyFont="1" applyFill="1" applyBorder="1"/>
    <xf numFmtId="0" fontId="22" fillId="2" borderId="0" xfId="18" applyFont="1" applyFill="1" applyBorder="1" applyAlignment="1">
      <alignment horizontal="left"/>
    </xf>
    <xf numFmtId="0" fontId="43" fillId="2" borderId="0" xfId="18" applyFont="1" applyFill="1" applyBorder="1" applyAlignment="1">
      <alignment horizontal="left" vertical="center"/>
    </xf>
    <xf numFmtId="14" fontId="43" fillId="2" borderId="0" xfId="18" applyNumberFormat="1" applyFont="1" applyFill="1" applyBorder="1" applyAlignment="1">
      <alignment horizontal="left"/>
    </xf>
    <xf numFmtId="0" fontId="41" fillId="2" borderId="0" xfId="18" applyFont="1" applyFill="1" applyBorder="1" applyAlignment="1"/>
    <xf numFmtId="0" fontId="13" fillId="2" borderId="0" xfId="18" applyFont="1" applyFill="1"/>
    <xf numFmtId="0" fontId="29" fillId="2" borderId="0" xfId="19" applyFill="1" applyBorder="1"/>
    <xf numFmtId="0" fontId="44" fillId="2" borderId="0" xfId="18" applyFont="1" applyFill="1" applyAlignment="1">
      <alignment vertical="center"/>
    </xf>
    <xf numFmtId="189" fontId="8" fillId="0" borderId="1" xfId="1" quotePrefix="1" applyNumberFormat="1" applyFont="1" applyFill="1" applyBorder="1" applyAlignment="1">
      <alignment horizontal="left" vertical="center"/>
    </xf>
    <xf numFmtId="0" fontId="53" fillId="0" borderId="1" xfId="0" applyFont="1" applyFill="1" applyBorder="1" applyAlignment="1">
      <alignment horizontal="left" vertical="center"/>
    </xf>
    <xf numFmtId="0" fontId="54" fillId="3" borderId="1" xfId="0" applyFont="1" applyFill="1" applyBorder="1" applyAlignment="1">
      <alignment horizontal="right" vertical="center"/>
    </xf>
    <xf numFmtId="0" fontId="54" fillId="0" borderId="1" xfId="0" applyFont="1" applyFill="1" applyBorder="1" applyAlignment="1">
      <alignment vertical="center"/>
    </xf>
    <xf numFmtId="0" fontId="54" fillId="8" borderId="1" xfId="0" applyFont="1" applyFill="1" applyBorder="1" applyAlignment="1">
      <alignment horizontal="left" vertical="center"/>
    </xf>
    <xf numFmtId="176" fontId="4" fillId="0" borderId="1" xfId="2" applyNumberFormat="1" applyFont="1" applyBorder="1" applyAlignment="1">
      <alignment horizontal="center" vertical="center"/>
    </xf>
    <xf numFmtId="0" fontId="56" fillId="0" borderId="1" xfId="17" applyFont="1" applyBorder="1" applyAlignment="1">
      <alignment horizontal="center" vertical="center"/>
    </xf>
    <xf numFmtId="0" fontId="55" fillId="0" borderId="1" xfId="17" applyFont="1" applyBorder="1" applyAlignment="1">
      <alignment horizontal="center" vertical="center"/>
    </xf>
    <xf numFmtId="49" fontId="58" fillId="13" borderId="16" xfId="15" applyNumberFormat="1" applyFont="1" applyFill="1" applyBorder="1" applyAlignment="1">
      <alignment horizontal="left" vertical="center"/>
    </xf>
    <xf numFmtId="0" fontId="19" fillId="0" borderId="3" xfId="18" applyFont="1" applyFill="1" applyBorder="1" applyAlignment="1">
      <alignment horizontal="left" vertical="center"/>
    </xf>
    <xf numFmtId="0" fontId="19" fillId="0" borderId="4" xfId="18" applyFont="1" applyFill="1" applyBorder="1" applyAlignment="1">
      <alignment horizontal="left" vertical="center"/>
    </xf>
    <xf numFmtId="0" fontId="19" fillId="0" borderId="6" xfId="18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9" fillId="10" borderId="3" xfId="0" applyFont="1" applyFill="1" applyBorder="1" applyAlignment="1" applyProtection="1">
      <alignment vertical="center"/>
      <protection hidden="1"/>
    </xf>
    <xf numFmtId="0" fontId="19" fillId="10" borderId="4" xfId="0" applyFont="1" applyFill="1" applyBorder="1" applyAlignment="1" applyProtection="1">
      <alignment vertical="center"/>
      <protection hidden="1"/>
    </xf>
    <xf numFmtId="0" fontId="19" fillId="10" borderId="6" xfId="0" applyFont="1" applyFill="1" applyBorder="1" applyAlignment="1" applyProtection="1">
      <alignment vertical="center"/>
      <protection hidden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9" fillId="10" borderId="3" xfId="0" applyFont="1" applyFill="1" applyBorder="1" applyAlignment="1" applyProtection="1">
      <alignment horizontal="left" vertical="center"/>
      <protection hidden="1"/>
    </xf>
    <xf numFmtId="0" fontId="19" fillId="10" borderId="4" xfId="0" applyFont="1" applyFill="1" applyBorder="1" applyAlignment="1" applyProtection="1">
      <alignment horizontal="left" vertical="center"/>
      <protection hidden="1"/>
    </xf>
    <xf numFmtId="0" fontId="19" fillId="10" borderId="6" xfId="0" applyFont="1" applyFill="1" applyBorder="1" applyAlignment="1" applyProtection="1">
      <alignment horizontal="left" vertical="center"/>
      <protection hidden="1"/>
    </xf>
    <xf numFmtId="0" fontId="4" fillId="0" borderId="3" xfId="0" applyFont="1" applyBorder="1" applyAlignment="1">
      <alignment horizontal="left" vertical="center"/>
    </xf>
    <xf numFmtId="0" fontId="19" fillId="10" borderId="7" xfId="0" applyFont="1" applyFill="1" applyBorder="1" applyAlignment="1" applyProtection="1">
      <alignment horizontal="center" vertical="center"/>
      <protection hidden="1"/>
    </xf>
    <xf numFmtId="0" fontId="19" fillId="10" borderId="8" xfId="0" applyFont="1" applyFill="1" applyBorder="1" applyAlignment="1" applyProtection="1">
      <alignment horizontal="center" vertical="center"/>
      <protection hidden="1"/>
    </xf>
    <xf numFmtId="0" fontId="19" fillId="10" borderId="9" xfId="0" applyFont="1" applyFill="1" applyBorder="1" applyAlignment="1" applyProtection="1">
      <alignment horizontal="center" vertical="center"/>
      <protection hidden="1"/>
    </xf>
    <xf numFmtId="0" fontId="19" fillId="10" borderId="0" xfId="0" applyFont="1" applyFill="1" applyBorder="1" applyAlignment="1" applyProtection="1">
      <alignment horizontal="center" vertical="center"/>
      <protection hidden="1"/>
    </xf>
    <xf numFmtId="0" fontId="19" fillId="10" borderId="10" xfId="0" applyFont="1" applyFill="1" applyBorder="1" applyAlignment="1" applyProtection="1">
      <alignment horizontal="center" vertical="center"/>
      <protection hidden="1"/>
    </xf>
    <xf numFmtId="0" fontId="19" fillId="10" borderId="11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89" fontId="8" fillId="10" borderId="3" xfId="1" applyNumberFormat="1" applyFont="1" applyFill="1" applyBorder="1" applyAlignment="1">
      <alignment horizontal="center" vertical="center"/>
    </xf>
    <xf numFmtId="189" fontId="8" fillId="10" borderId="4" xfId="1" applyNumberFormat="1" applyFont="1" applyFill="1" applyBorder="1" applyAlignment="1">
      <alignment horizontal="center" vertical="center"/>
    </xf>
    <xf numFmtId="189" fontId="8" fillId="10" borderId="6" xfId="1" applyNumberFormat="1" applyFont="1" applyFill="1" applyBorder="1" applyAlignment="1">
      <alignment horizontal="center" vertical="center"/>
    </xf>
    <xf numFmtId="186" fontId="4" fillId="0" borderId="2" xfId="2" applyNumberFormat="1" applyFont="1" applyFill="1" applyBorder="1" applyAlignment="1">
      <alignment horizontal="center" vertical="center"/>
    </xf>
    <xf numFmtId="186" fontId="4" fillId="0" borderId="15" xfId="2" applyNumberFormat="1" applyFont="1" applyFill="1" applyBorder="1" applyAlignment="1">
      <alignment horizontal="center" vertical="center"/>
    </xf>
    <xf numFmtId="186" fontId="4" fillId="0" borderId="5" xfId="2" applyNumberFormat="1" applyFont="1" applyFill="1" applyBorder="1" applyAlignment="1">
      <alignment horizontal="center" vertical="center"/>
    </xf>
    <xf numFmtId="186" fontId="4" fillId="0" borderId="7" xfId="2" applyNumberFormat="1" applyFont="1" applyFill="1" applyBorder="1" applyAlignment="1">
      <alignment horizontal="center" vertical="center"/>
    </xf>
    <xf numFmtId="186" fontId="4" fillId="0" borderId="10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3" borderId="1" xfId="17" applyFont="1" applyFill="1" applyBorder="1" applyAlignment="1">
      <alignment horizontal="center" vertical="center" wrapText="1"/>
    </xf>
    <xf numFmtId="0" fontId="4" fillId="3" borderId="1" xfId="17" applyFont="1" applyFill="1" applyBorder="1" applyAlignment="1">
      <alignment horizontal="center" vertical="center"/>
    </xf>
    <xf numFmtId="10" fontId="31" fillId="8" borderId="0" xfId="11" applyNumberFormat="1" applyFont="1" applyFill="1" applyAlignment="1">
      <alignment horizontal="right" vertical="center"/>
    </xf>
    <xf numFmtId="0" fontId="31" fillId="12" borderId="16" xfId="15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vertical="center"/>
    </xf>
    <xf numFmtId="176" fontId="8" fillId="19" borderId="1" xfId="2" applyNumberFormat="1" applyFont="1" applyFill="1" applyBorder="1" applyAlignment="1">
      <alignment vertical="center"/>
    </xf>
    <xf numFmtId="44" fontId="8" fillId="0" borderId="0" xfId="0" applyNumberFormat="1" applyFont="1" applyFill="1" applyAlignment="1">
      <alignment vertical="center"/>
    </xf>
  </cellXfs>
  <cellStyles count="24">
    <cellStyle name="%格式" xfId="3" xr:uid="{00000000-0005-0000-0000-000009000000}"/>
    <cellStyle name="Comma 2" xfId="8" xr:uid="{00000000-0005-0000-0000-000012000000}"/>
    <cellStyle name="Style 1" xfId="14" xr:uid="{00000000-0005-0000-0000-00003A000000}"/>
    <cellStyle name="百分比" xfId="5" builtinId="5"/>
    <cellStyle name="百分比 2" xfId="7" xr:uid="{00000000-0005-0000-0000-000010000000}"/>
    <cellStyle name="百分比 3" xfId="16" xr:uid="{00000000-0005-0000-0000-00003C000000}"/>
    <cellStyle name="百分比 4" xfId="9" xr:uid="{00000000-0005-0000-0000-000018000000}"/>
    <cellStyle name="百分比 5" xfId="10" xr:uid="{00000000-0005-0000-0000-00001A000000}"/>
    <cellStyle name="百分比 6" xfId="11" xr:uid="{00000000-0005-0000-0000-00001C000000}"/>
    <cellStyle name="常规" xfId="0" builtinId="0"/>
    <cellStyle name="常规 2" xfId="17" xr:uid="{00000000-0005-0000-0000-00003D000000}"/>
    <cellStyle name="常规 2 2" xfId="12" xr:uid="{00000000-0005-0000-0000-000033000000}"/>
    <cellStyle name="常规 3" xfId="18" xr:uid="{00000000-0005-0000-0000-00003E000000}"/>
    <cellStyle name="常规 4" xfId="19" xr:uid="{00000000-0005-0000-0000-00003F000000}"/>
    <cellStyle name="常规 4 2" xfId="13" xr:uid="{00000000-0005-0000-0000-000039000000}"/>
    <cellStyle name="常规 5" xfId="20" xr:uid="{00000000-0005-0000-0000-000040000000}"/>
    <cellStyle name="常规 6" xfId="6" xr:uid="{00000000-0005-0000-0000-00000F000000}"/>
    <cellStyle name="常规 7" xfId="15" xr:uid="{00000000-0005-0000-0000-00003B000000}"/>
    <cellStyle name="超链接" xfId="4" builtinId="8"/>
    <cellStyle name="千位分隔" xfId="2" builtinId="3"/>
    <cellStyle name="千位分隔 2" xfId="21" xr:uid="{00000000-0005-0000-0000-000041000000}"/>
    <cellStyle name="千位分隔 3" xfId="22" xr:uid="{00000000-0005-0000-0000-000042000000}"/>
    <cellStyle name="千位分隔 4" xfId="23" xr:uid="{00000000-0005-0000-0000-000043000000}"/>
    <cellStyle name="千位分隔[0]" xfId="1" builtinId="6"/>
  </cellStyles>
  <dxfs count="0"/>
  <tableStyles count="0" defaultTableStyle="TableStyleMedium2" defaultPivotStyle="PivotStyleMedium9"/>
  <colors>
    <mruColors>
      <color rgb="FF4362E5"/>
      <color rgb="FFFF9900"/>
      <color rgb="FF004E9D"/>
      <color rgb="FF9966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'利润表(年度)'!$A$91</c:f>
              <c:strCache>
                <c:ptCount val="1"/>
                <c:pt idx="0">
                  <c:v>营业收入-YoY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'利润表(年度)'!$B$2:$K$2</c15:sqref>
                  </c15:fullRef>
                </c:ext>
              </c:extLst>
              <c:f>'利润表(年度)'!$G$2:$K$2</c:f>
              <c:strCache>
                <c:ptCount val="5"/>
                <c:pt idx="0">
                  <c:v>2019E</c:v>
                </c:pt>
                <c:pt idx="1">
                  <c:v>2020E</c:v>
                </c:pt>
                <c:pt idx="2">
                  <c:v>2021E</c:v>
                </c:pt>
                <c:pt idx="3">
                  <c:v>2022E</c:v>
                </c:pt>
                <c:pt idx="4">
                  <c:v>2023E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'利润表(年度)'!$B$91:$K$91</c15:sqref>
                  </c15:fullRef>
                </c:ext>
              </c:extLst>
              <c:f>'利润表(年度)'!$G$91:$K$91</c:f>
              <c:numCache>
                <c:formatCode>0.0%</c:formatCode>
                <c:ptCount val="5"/>
                <c:pt idx="0">
                  <c:v>0.19965894279018492</c:v>
                </c:pt>
                <c:pt idx="1">
                  <c:v>0.13627574741715565</c:v>
                </c:pt>
                <c:pt idx="2">
                  <c:v>0.16876132405923205</c:v>
                </c:pt>
                <c:pt idx="3">
                  <c:v>0.19759279438831379</c:v>
                </c:pt>
                <c:pt idx="4">
                  <c:v>0.23989341125576602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8-454C-A4E9-79D3B5DC2E0A}"/>
            </c:ext>
          </c:extLst>
        </c:ser>
        <c:ser>
          <c:idx val="1"/>
          <c:order val="1"/>
          <c:tx>
            <c:strRef>
              <c:f>'利润表(年度)'!$A$92</c:f>
              <c:strCache>
                <c:ptCount val="1"/>
                <c:pt idx="0">
                  <c:v>归母净利润-YoY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'利润表(年度)'!$B$2:$K$2</c15:sqref>
                  </c15:fullRef>
                </c:ext>
              </c:extLst>
              <c:f>'利润表(年度)'!$G$2:$K$2</c:f>
              <c:strCache>
                <c:ptCount val="5"/>
                <c:pt idx="0">
                  <c:v>2019E</c:v>
                </c:pt>
                <c:pt idx="1">
                  <c:v>2020E</c:v>
                </c:pt>
                <c:pt idx="2">
                  <c:v>2021E</c:v>
                </c:pt>
                <c:pt idx="3">
                  <c:v>2022E</c:v>
                </c:pt>
                <c:pt idx="4">
                  <c:v>2023E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'利润表(年度)'!$B$92:$K$92</c15:sqref>
                  </c15:fullRef>
                </c:ext>
              </c:extLst>
              <c:f>'利润表(年度)'!$G$92:$K$92</c:f>
              <c:numCache>
                <c:formatCode>0.0%</c:formatCode>
                <c:ptCount val="5"/>
                <c:pt idx="0">
                  <c:v>0.20475111363547494</c:v>
                </c:pt>
                <c:pt idx="1">
                  <c:v>0.17182506116506868</c:v>
                </c:pt>
                <c:pt idx="2">
                  <c:v>0.20045407848705077</c:v>
                </c:pt>
                <c:pt idx="3">
                  <c:v>0.20394929440711951</c:v>
                </c:pt>
                <c:pt idx="4">
                  <c:v>0.23112947743054835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8-454C-A4E9-79D3B5DC2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2631152"/>
        <c:axId val="1922627888"/>
      </c:lineChart>
      <c:catAx>
        <c:axId val="19226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22627888"/>
        <c:crosses val="autoZero"/>
        <c:auto val="1"/>
        <c:lblAlgn val="ctr"/>
        <c:lblOffset val="100"/>
        <c:noMultiLvlLbl val="0"/>
      </c:catAx>
      <c:valAx>
        <c:axId val="192262788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2263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'利润表(年度)'!$A$94</c:f>
              <c:strCache>
                <c:ptCount val="1"/>
                <c:pt idx="0">
                  <c:v>毛销差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'利润表(年度)'!$B$2:$K$2</c:f>
              <c:strCache>
                <c:ptCount val="10"/>
                <c:pt idx="0">
                  <c:v>2014-12-31</c:v>
                </c:pt>
                <c:pt idx="1">
                  <c:v>2015-12-31</c:v>
                </c:pt>
                <c:pt idx="2">
                  <c:v>2016-12-31</c:v>
                </c:pt>
                <c:pt idx="3">
                  <c:v>2017-12-31</c:v>
                </c:pt>
                <c:pt idx="4">
                  <c:v>2018-12-31</c:v>
                </c:pt>
                <c:pt idx="5">
                  <c:v>2019E</c:v>
                </c:pt>
                <c:pt idx="6">
                  <c:v>2020E</c:v>
                </c:pt>
                <c:pt idx="7">
                  <c:v>2021E</c:v>
                </c:pt>
                <c:pt idx="8">
                  <c:v>2022E</c:v>
                </c:pt>
                <c:pt idx="9">
                  <c:v>2023E</c:v>
                </c:pt>
              </c:strCache>
            </c:strRef>
          </c:cat>
          <c:val>
            <c:numRef>
              <c:f>'利润表(年度)'!$B$94:$K$94</c:f>
              <c:numCache>
                <c:formatCode>0.0%</c:formatCode>
                <c:ptCount val="10"/>
                <c:pt idx="0">
                  <c:v>-1.2000246194398101E-2</c:v>
                </c:pt>
                <c:pt idx="1">
                  <c:v>2.5535544197875626E-2</c:v>
                </c:pt>
                <c:pt idx="2">
                  <c:v>9.4437664517856734E-2</c:v>
                </c:pt>
                <c:pt idx="3">
                  <c:v>9.5584221099089511E-2</c:v>
                </c:pt>
                <c:pt idx="4">
                  <c:v>7.3851645018608941E-2</c:v>
                </c:pt>
                <c:pt idx="5">
                  <c:v>7.519170485218804E-2</c:v>
                </c:pt>
                <c:pt idx="6">
                  <c:v>7.927535349635742E-2</c:v>
                </c:pt>
                <c:pt idx="7">
                  <c:v>8.3370195937837427E-2</c:v>
                </c:pt>
                <c:pt idx="8">
                  <c:v>8.6306573858904251E-2</c:v>
                </c:pt>
                <c:pt idx="9">
                  <c:v>8.8643550829583556E-2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3-4C1E-B275-AA29D9189BC4}"/>
            </c:ext>
          </c:extLst>
        </c:ser>
        <c:ser>
          <c:idx val="1"/>
          <c:order val="1"/>
          <c:tx>
            <c:strRef>
              <c:f>'利润表(年度)'!$A$95</c:f>
              <c:strCache>
                <c:ptCount val="1"/>
                <c:pt idx="0">
                  <c:v>归母净利润率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'利润表(年度)'!$B$2:$K$2</c:f>
              <c:strCache>
                <c:ptCount val="10"/>
                <c:pt idx="0">
                  <c:v>2014-12-31</c:v>
                </c:pt>
                <c:pt idx="1">
                  <c:v>2015-12-31</c:v>
                </c:pt>
                <c:pt idx="2">
                  <c:v>2016-12-31</c:v>
                </c:pt>
                <c:pt idx="3">
                  <c:v>2017-12-31</c:v>
                </c:pt>
                <c:pt idx="4">
                  <c:v>2018-12-31</c:v>
                </c:pt>
                <c:pt idx="5">
                  <c:v>2019E</c:v>
                </c:pt>
                <c:pt idx="6">
                  <c:v>2020E</c:v>
                </c:pt>
                <c:pt idx="7">
                  <c:v>2021E</c:v>
                </c:pt>
                <c:pt idx="8">
                  <c:v>2022E</c:v>
                </c:pt>
                <c:pt idx="9">
                  <c:v>2023E</c:v>
                </c:pt>
              </c:strCache>
            </c:strRef>
          </c:cat>
          <c:val>
            <c:numRef>
              <c:f>'利润表(年度)'!$B$95:$K$95</c:f>
              <c:numCache>
                <c:formatCode>0.0%</c:formatCode>
                <c:ptCount val="10"/>
                <c:pt idx="0">
                  <c:v>-1.3915932833927924E-2</c:v>
                </c:pt>
                <c:pt idx="1">
                  <c:v>4.3923777154095175E-3</c:v>
                </c:pt>
                <c:pt idx="2">
                  <c:v>5.3474235919708887E-2</c:v>
                </c:pt>
                <c:pt idx="3">
                  <c:v>5.4376495020891084E-2</c:v>
                </c:pt>
                <c:pt idx="4">
                  <c:v>4.3401307239207411E-2</c:v>
                </c:pt>
                <c:pt idx="5">
                  <c:v>4.3585531991333165E-2</c:v>
                </c:pt>
                <c:pt idx="6">
                  <c:v>4.4949140917380899E-2</c:v>
                </c:pt>
                <c:pt idx="7">
                  <c:v>4.6168005757884274E-2</c:v>
                </c:pt>
                <c:pt idx="8">
                  <c:v>4.641305309855244E-2</c:v>
                </c:pt>
                <c:pt idx="9">
                  <c:v>4.6084991894025137E-2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3-4C1E-B275-AA29D918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2626256"/>
        <c:axId val="1922637680"/>
      </c:lineChart>
      <c:catAx>
        <c:axId val="19226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22637680"/>
        <c:crosses val="autoZero"/>
        <c:auto val="1"/>
        <c:lblAlgn val="ctr"/>
        <c:lblOffset val="100"/>
        <c:noMultiLvlLbl val="0"/>
      </c:catAx>
      <c:valAx>
        <c:axId val="1922637680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2262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'利润表(单季度)'!$A$56</c:f>
              <c:strCache>
                <c:ptCount val="1"/>
                <c:pt idx="0">
                  <c:v>  毛销差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'利润表(单季度)'!$B$2:$H$2</c:f>
              <c:strCache>
                <c:ptCount val="7"/>
                <c:pt idx="0">
                  <c:v>2018-03-31</c:v>
                </c:pt>
                <c:pt idx="1">
                  <c:v>2018-06-30</c:v>
                </c:pt>
                <c:pt idx="2">
                  <c:v>2018-09-30</c:v>
                </c:pt>
                <c:pt idx="3">
                  <c:v>2018-12-31</c:v>
                </c:pt>
                <c:pt idx="4">
                  <c:v>2019-03-31</c:v>
                </c:pt>
                <c:pt idx="5">
                  <c:v>2019-06-30</c:v>
                </c:pt>
                <c:pt idx="6">
                  <c:v>2019-09-30</c:v>
                </c:pt>
              </c:strCache>
            </c:strRef>
          </c:cat>
          <c:val>
            <c:numRef>
              <c:f>'利润表(单季度)'!$B$56:$H$56</c:f>
              <c:numCache>
                <c:formatCode>0.0%</c:formatCode>
                <c:ptCount val="7"/>
                <c:pt idx="0">
                  <c:v>0.15882586888521241</c:v>
                </c:pt>
                <c:pt idx="1">
                  <c:v>-7.3815858241615961E-4</c:v>
                </c:pt>
                <c:pt idx="2">
                  <c:v>4.408233589919236E-2</c:v>
                </c:pt>
                <c:pt idx="3">
                  <c:v>4.1286087156071516E-2</c:v>
                </c:pt>
                <c:pt idx="4">
                  <c:v>0.13929401905510611</c:v>
                </c:pt>
                <c:pt idx="5">
                  <c:v>4.0259272841690563E-2</c:v>
                </c:pt>
                <c:pt idx="6">
                  <c:v>3.8931881722670175E-2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F-450B-923F-FC0E4283775D}"/>
            </c:ext>
          </c:extLst>
        </c:ser>
        <c:ser>
          <c:idx val="3"/>
          <c:order val="3"/>
          <c:tx>
            <c:strRef>
              <c:f>'利润表(单季度)'!$A$59</c:f>
              <c:strCache>
                <c:ptCount val="1"/>
                <c:pt idx="0">
                  <c:v>  归母净利润率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'利润表(单季度)'!$B$2:$H$2</c:f>
              <c:strCache>
                <c:ptCount val="7"/>
                <c:pt idx="0">
                  <c:v>2018-03-31</c:v>
                </c:pt>
                <c:pt idx="1">
                  <c:v>2018-06-30</c:v>
                </c:pt>
                <c:pt idx="2">
                  <c:v>2018-09-30</c:v>
                </c:pt>
                <c:pt idx="3">
                  <c:v>2018-12-31</c:v>
                </c:pt>
                <c:pt idx="4">
                  <c:v>2019-03-31</c:v>
                </c:pt>
                <c:pt idx="5">
                  <c:v>2019-06-30</c:v>
                </c:pt>
                <c:pt idx="6">
                  <c:v>2019-09-30</c:v>
                </c:pt>
              </c:strCache>
            </c:strRef>
          </c:cat>
          <c:val>
            <c:numRef>
              <c:f>'利润表(单季度)'!$B$59:$H$59</c:f>
              <c:numCache>
                <c:formatCode>0.0%</c:formatCode>
                <c:ptCount val="7"/>
                <c:pt idx="0">
                  <c:v>0.10336991341459553</c:v>
                </c:pt>
                <c:pt idx="1">
                  <c:v>-2.540778068063072E-2</c:v>
                </c:pt>
                <c:pt idx="2">
                  <c:v>4.1422650628152424E-2</c:v>
                </c:pt>
                <c:pt idx="3">
                  <c:v>1.5459768759101544E-2</c:v>
                </c:pt>
                <c:pt idx="4">
                  <c:v>8.6932178408251182E-2</c:v>
                </c:pt>
                <c:pt idx="5">
                  <c:v>1.0443042056155503E-2</c:v>
                </c:pt>
                <c:pt idx="6">
                  <c:v>1.325777536072632E-2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F-450B-923F-FC0E42837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3323440"/>
        <c:axId val="20033169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'利润表(单季度)'!$A$57</c15:sqref>
                        </c15:formulaRef>
                      </c:ext>
                    </c:extLst>
                    <c:strCache>
                      <c:ptCount val="1"/>
                      <c:pt idx="0">
                        <c:v>  三费率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'利润表(单季度)'!$B$2:$H$2</c15:sqref>
                        </c15:formulaRef>
                      </c:ext>
                    </c:extLst>
                    <c:strCache>
                      <c:ptCount val="7"/>
                      <c:pt idx="0">
                        <c:v>2018-03-31</c:v>
                      </c:pt>
                      <c:pt idx="1">
                        <c:v>2018-06-30</c:v>
                      </c:pt>
                      <c:pt idx="2">
                        <c:v>2018-09-30</c:v>
                      </c:pt>
                      <c:pt idx="3">
                        <c:v>2018-12-31</c:v>
                      </c:pt>
                      <c:pt idx="4">
                        <c:v>2019-03-31</c:v>
                      </c:pt>
                      <c:pt idx="5">
                        <c:v>2019-06-30</c:v>
                      </c:pt>
                      <c:pt idx="6">
                        <c:v>2019-09-30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'利润表(单季度)'!$B$57:$H$57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0.17110504710039873</c:v>
                      </c:pt>
                      <c:pt idx="1">
                        <c:v>0.28874004731869751</c:v>
                      </c:pt>
                      <c:pt idx="2">
                        <c:v>0.23486599783650178</c:v>
                      </c:pt>
                      <c:pt idx="3">
                        <c:v>0.23995925081551983</c:v>
                      </c:pt>
                      <c:pt idx="4">
                        <c:v>0.20301029514425342</c:v>
                      </c:pt>
                      <c:pt idx="5">
                        <c:v>0.24726379352007707</c:v>
                      </c:pt>
                      <c:pt idx="6">
                        <c:v>0.23609075090205978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C2F-450B-923F-FC0E4283775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'利润表(单季度)'!$A$58</c15:sqref>
                        </c15:formulaRef>
                      </c:ext>
                    </c:extLst>
                    <c:strCache>
                      <c:ptCount val="1"/>
                      <c:pt idx="0">
                        <c:v>  实际有效税率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'利润表(单季度)'!$B$2:$H$2</c15:sqref>
                        </c15:formulaRef>
                      </c:ext>
                    </c:extLst>
                    <c:strCache>
                      <c:ptCount val="7"/>
                      <c:pt idx="0">
                        <c:v>2018-03-31</c:v>
                      </c:pt>
                      <c:pt idx="1">
                        <c:v>2018-06-30</c:v>
                      </c:pt>
                      <c:pt idx="2">
                        <c:v>2018-09-30</c:v>
                      </c:pt>
                      <c:pt idx="3">
                        <c:v>2018-12-31</c:v>
                      </c:pt>
                      <c:pt idx="4">
                        <c:v>2019-03-31</c:v>
                      </c:pt>
                      <c:pt idx="5">
                        <c:v>2019-06-30</c:v>
                      </c:pt>
                      <c:pt idx="6">
                        <c:v>2019-09-30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'利润表(单季度)'!$B$58:$H$58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0.25186752676355056</c:v>
                      </c:pt>
                      <c:pt idx="1">
                        <c:v>5.3144426223256165E-2</c:v>
                      </c:pt>
                      <c:pt idx="2">
                        <c:v>0.17076023391812867</c:v>
                      </c:pt>
                      <c:pt idx="3">
                        <c:v>0.19310005149215304</c:v>
                      </c:pt>
                      <c:pt idx="4">
                        <c:v>0.26089374775045077</c:v>
                      </c:pt>
                      <c:pt idx="5">
                        <c:v>7.4336311818853432E-2</c:v>
                      </c:pt>
                      <c:pt idx="6">
                        <c:v>0.24282877717236337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C2F-450B-923F-FC0E4283775D}"/>
                  </c:ext>
                </c:extLst>
              </c15:ser>
            </c15:filteredLineSeries>
          </c:ext>
        </c:extLst>
      </c:lineChart>
      <c:catAx>
        <c:axId val="200332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03316912"/>
        <c:crosses val="autoZero"/>
        <c:auto val="1"/>
        <c:lblAlgn val="ctr"/>
        <c:lblOffset val="100"/>
        <c:noMultiLvlLbl val="0"/>
      </c:catAx>
      <c:valAx>
        <c:axId val="2003316912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0332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'利润表(单季度)'!$A$52</c:f>
              <c:strCache>
                <c:ptCount val="1"/>
                <c:pt idx="0">
                  <c:v>  营业收入-YoY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'利润表(单季度)'!$B$52:$H$52</c:f>
              <c:numCache>
                <c:formatCode>0.0%</c:formatCode>
                <c:ptCount val="7"/>
                <c:pt idx="1">
                  <c:v>-0.56665109765521993</c:v>
                </c:pt>
                <c:pt idx="2">
                  <c:v>0.47136823777200343</c:v>
                </c:pt>
                <c:pt idx="3">
                  <c:v>0.62150035600415943</c:v>
                </c:pt>
                <c:pt idx="4">
                  <c:v>0.23005586927661614</c:v>
                </c:pt>
                <c:pt idx="5">
                  <c:v>-0.42680493862565816</c:v>
                </c:pt>
                <c:pt idx="6">
                  <c:v>0.3403830883750405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10-4662-96B9-596F2236C0EF}"/>
            </c:ext>
          </c:extLst>
        </c:ser>
        <c:ser>
          <c:idx val="1"/>
          <c:order val="1"/>
          <c:tx>
            <c:strRef>
              <c:f>'利润表(单季度)'!$A$53</c:f>
              <c:strCache>
                <c:ptCount val="1"/>
                <c:pt idx="0">
                  <c:v>  归母净利润-YoY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'利润表(单季度)'!$B$53:$H$53</c:f>
              <c:numCache>
                <c:formatCode>0.0%</c:formatCode>
                <c:ptCount val="7"/>
                <c:pt idx="1">
                  <c:v>-1.1065148794776256</c:v>
                </c:pt>
                <c:pt idx="2">
                  <c:v>-3.3987916624710506</c:v>
                </c:pt>
                <c:pt idx="3">
                  <c:v>-0.39482335952716774</c:v>
                </c:pt>
                <c:pt idx="4">
                  <c:v>5.9167552210066612</c:v>
                </c:pt>
                <c:pt idx="5">
                  <c:v>-0.93114287204213519</c:v>
                </c:pt>
                <c:pt idx="6">
                  <c:v>0.7016591322179242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0-4662-96B9-596F2236C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745215"/>
        <c:axId val="772344815"/>
      </c:lineChart>
      <c:catAx>
        <c:axId val="7707452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72344815"/>
        <c:crosses val="autoZero"/>
        <c:auto val="1"/>
        <c:lblAlgn val="ctr"/>
        <c:lblOffset val="100"/>
        <c:noMultiLvlLbl val="0"/>
      </c:catAx>
      <c:valAx>
        <c:axId val="77234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70745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601980</xdr:colOff>
      <xdr:row>8</xdr:row>
      <xdr:rowOff>103505</xdr:rowOff>
    </xdr:from>
    <xdr:to>
      <xdr:col>259</xdr:col>
      <xdr:colOff>379730</xdr:colOff>
      <xdr:row>25</xdr:row>
      <xdr:rowOff>148590</xdr:rowOff>
    </xdr:to>
    <xdr:grpSp>
      <xdr:nvGrpSpPr>
        <xdr:cNvPr id="2" name="组合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715701" y="1321819"/>
          <a:ext cx="5880395" cy="3234852"/>
          <a:chOff x="6122580" y="1328808"/>
          <a:chExt cx="5298559" cy="3338693"/>
        </a:xfrm>
      </xdr:grpSpPr>
      <xdr:sp macro="" textlink="">
        <xdr:nvSpPr>
          <xdr:cNvPr id="3" name="TextBox 1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122580" y="2387050"/>
            <a:ext cx="5298559" cy="68216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/>
            <a:r>
              <a:rPr lang="zh-CN" altLang="en-US" sz="3000" b="1">
                <a:solidFill>
                  <a:schemeClr val="bg1"/>
                </a:solidFill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三只松鼠财务预测与估值模型</a:t>
            </a:r>
          </a:p>
        </xdr:txBody>
      </xdr:sp>
      <xdr:sp macro="" textlink="">
        <xdr:nvSpPr>
          <xdr:cNvPr id="4" name="TextBox 1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7400807" y="3588488"/>
            <a:ext cx="2591479" cy="10790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200" b="0" i="0" u="none" strike="noStrike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模型说明：</a:t>
            </a:r>
            <a:endParaRPr lang="en-US" altLang="zh-CN" sz="1200" b="0">
              <a:solidFill>
                <a:schemeClr val="bg1"/>
              </a:solidFill>
              <a:latin typeface="华文中宋" panose="02010600040101010101" pitchFamily="2" charset="-122"/>
              <a:ea typeface="华文中宋" panose="02010600040101010101" pitchFamily="2" charset="-122"/>
            </a:endParaRPr>
          </a:p>
          <a:p>
            <a:pPr>
              <a:spcBef>
                <a:spcPts val="600"/>
              </a:spcBef>
            </a:pPr>
            <a:r>
              <a:rPr lang="zh-CN" altLang="en-US" sz="1200" b="0" i="0" u="none" strike="noStrike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会计年度末</a:t>
            </a:r>
            <a:r>
              <a:rPr lang="zh-CN" altLang="en-US" sz="1200" b="0" u="none">
                <a:solidFill>
                  <a:schemeClr val="bg1"/>
                </a:solidFill>
                <a:latin typeface="华文中宋" panose="02010600040101010101" pitchFamily="2" charset="-122"/>
                <a:ea typeface="华文中宋" panose="02010600040101010101" pitchFamily="2" charset="-122"/>
              </a:rPr>
              <a:t>                </a:t>
            </a:r>
            <a:r>
              <a:rPr lang="en-US" altLang="zh-CN" sz="1200" b="0" i="0" u="none" strike="noStrike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12</a:t>
            </a:r>
            <a:r>
              <a:rPr lang="zh-CN" altLang="en-US" sz="1200" b="0" i="0" u="none" strike="noStrike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月</a:t>
            </a:r>
            <a:r>
              <a:rPr lang="en-US" altLang="zh-CN" sz="1200" b="0" i="0" u="none" strike="noStrike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31</a:t>
            </a:r>
            <a:r>
              <a:rPr lang="zh-CN" altLang="en-US" sz="1200" b="0" i="0" u="none" strike="noStrike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日 </a:t>
            </a:r>
            <a:r>
              <a:rPr lang="zh-CN" altLang="en-US" sz="1200" b="0" u="none">
                <a:solidFill>
                  <a:schemeClr val="bg1"/>
                </a:solidFill>
                <a:latin typeface="华文中宋" panose="02010600040101010101" pitchFamily="2" charset="-122"/>
                <a:ea typeface="华文中宋" panose="02010600040101010101" pitchFamily="2" charset="-122"/>
              </a:rPr>
              <a:t> </a:t>
            </a:r>
            <a:endParaRPr lang="en-US" altLang="zh-CN" sz="1200" b="0" u="none">
              <a:solidFill>
                <a:schemeClr val="bg1"/>
              </a:solidFill>
              <a:latin typeface="华文中宋" panose="02010600040101010101" pitchFamily="2" charset="-122"/>
              <a:ea typeface="华文中宋" panose="02010600040101010101" pitchFamily="2" charset="-122"/>
            </a:endParaRPr>
          </a:p>
          <a:p>
            <a:r>
              <a:rPr lang="zh-CN" altLang="en-US" sz="1200" b="0" i="0" u="none" strike="noStrike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货币</a:t>
            </a:r>
            <a:r>
              <a:rPr lang="en-US" altLang="zh-CN" sz="1200" b="0" i="0" u="none" strike="noStrike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	</a:t>
            </a:r>
            <a:r>
              <a:rPr lang="en-US" altLang="zh-CN" sz="1200" b="0" i="0" u="none" strike="noStrike" baseline="0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             </a:t>
            </a:r>
            <a:r>
              <a:rPr lang="zh-CN" altLang="en-US" sz="1200" b="0" i="0" u="none" strike="noStrike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人民币      </a:t>
            </a:r>
            <a:r>
              <a:rPr lang="zh-CN" altLang="en-US" sz="1200" b="0" u="none">
                <a:solidFill>
                  <a:schemeClr val="bg1"/>
                </a:solidFill>
                <a:latin typeface="华文中宋" panose="02010600040101010101" pitchFamily="2" charset="-122"/>
                <a:ea typeface="华文中宋" panose="02010600040101010101" pitchFamily="2" charset="-122"/>
              </a:rPr>
              <a:t> </a:t>
            </a:r>
            <a:endParaRPr lang="en-US" altLang="zh-CN" sz="1200" b="0" u="none">
              <a:solidFill>
                <a:schemeClr val="bg1"/>
              </a:solidFill>
              <a:latin typeface="华文中宋" panose="02010600040101010101" pitchFamily="2" charset="-122"/>
              <a:ea typeface="华文中宋" panose="02010600040101010101" pitchFamily="2" charset="-122"/>
            </a:endParaRPr>
          </a:p>
          <a:p>
            <a:r>
              <a:rPr lang="zh-CN" altLang="en-US" sz="1200" b="0" i="0" u="none" strike="noStrike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数量单位</a:t>
            </a:r>
            <a:r>
              <a:rPr lang="zh-CN" altLang="en-US" sz="1200" b="0" u="none">
                <a:solidFill>
                  <a:schemeClr val="bg1"/>
                </a:solidFill>
                <a:latin typeface="华文中宋" panose="02010600040101010101" pitchFamily="2" charset="-122"/>
                <a:ea typeface="华文中宋" panose="02010600040101010101" pitchFamily="2" charset="-122"/>
              </a:rPr>
              <a:t>                   </a:t>
            </a:r>
            <a:r>
              <a:rPr lang="zh-CN" altLang="en-US" sz="1200" b="0" i="0" u="none" strike="noStrike">
                <a:solidFill>
                  <a:schemeClr val="bg1"/>
                </a:solidFill>
                <a:effectLst/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rPr>
              <a:t>万元        </a:t>
            </a:r>
            <a:endParaRPr lang="en-US" altLang="zh-CN" sz="1200" b="0" u="none">
              <a:solidFill>
                <a:schemeClr val="bg1"/>
              </a:solidFill>
              <a:latin typeface="华文中宋" panose="02010600040101010101" pitchFamily="2" charset="-122"/>
              <a:ea typeface="华文中宋" panose="02010600040101010101" pitchFamily="2" charset="-122"/>
            </a:endParaRPr>
          </a:p>
        </xdr:txBody>
      </xdr:sp>
      <xdr:sp macro="" textlink="">
        <xdr:nvSpPr>
          <xdr:cNvPr id="6" name="TextBox 1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023791" y="1328808"/>
            <a:ext cx="1861733" cy="3424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 algn="r"/>
            <a:endParaRPr lang="zh-CN" altLang="en-US" sz="1400" b="1">
              <a:solidFill>
                <a:schemeClr val="bg1"/>
              </a:solidFill>
              <a:latin typeface="华文中宋" panose="02010600040101010101" pitchFamily="2" charset="-122"/>
              <a:ea typeface="华文中宋" panose="02010600040101010101" pitchFamily="2" charset="-122"/>
              <a:cs typeface="+mn-cs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65890</xdr:rowOff>
    </xdr:from>
    <xdr:ext cx="1784206" cy="35631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0" y="65890"/>
          <a:ext cx="1784206" cy="3563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r>
            <a:rPr lang="zh-CN" altLang="en-US" sz="12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三只松鼠</a:t>
          </a:r>
          <a:r>
            <a:rPr lang="en-US" altLang="zh-CN" sz="12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-DCF</a:t>
          </a:r>
          <a:r>
            <a:rPr lang="zh-CN" altLang="en-US" sz="12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估值过程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51716</xdr:rowOff>
    </xdr:from>
    <xdr:ext cx="1784206" cy="35631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0" y="51716"/>
          <a:ext cx="1784206" cy="3563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三只松鼠</a:t>
          </a:r>
          <a:r>
            <a:rPr lang="en-US" altLang="zh-CN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-DCF</a:t>
          </a:r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估值结果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53621</xdr:rowOff>
    </xdr:from>
    <xdr:ext cx="1661096" cy="35631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0" y="53621"/>
          <a:ext cx="1661096" cy="3563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三只松鼠</a:t>
          </a:r>
          <a:r>
            <a:rPr lang="en-US" altLang="zh-CN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-PE</a:t>
          </a:r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估值结果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</xdr:colOff>
      <xdr:row>0</xdr:row>
      <xdr:rowOff>59690</xdr:rowOff>
    </xdr:from>
    <xdr:ext cx="1482329" cy="35631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3810" y="59690"/>
          <a:ext cx="1482090" cy="356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三只松鼠</a:t>
          </a:r>
          <a:r>
            <a:rPr lang="en-US" altLang="zh-CN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-</a:t>
          </a:r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使用说明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6</xdr:col>
      <xdr:colOff>0</xdr:colOff>
      <xdr:row>112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113</xdr:row>
      <xdr:rowOff>0</xdr:rowOff>
    </xdr:from>
    <xdr:to>
      <xdr:col>6</xdr:col>
      <xdr:colOff>0</xdr:colOff>
      <xdr:row>129</xdr:row>
      <xdr:rowOff>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77</xdr:row>
      <xdr:rowOff>0</xdr:rowOff>
    </xdr:from>
    <xdr:to>
      <xdr:col>6</xdr:col>
      <xdr:colOff>142875</xdr:colOff>
      <xdr:row>93</xdr:row>
      <xdr:rowOff>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9531</xdr:colOff>
      <xdr:row>59</xdr:row>
      <xdr:rowOff>90487</xdr:rowOff>
    </xdr:from>
    <xdr:to>
      <xdr:col>6</xdr:col>
      <xdr:colOff>152406</xdr:colOff>
      <xdr:row>75</xdr:row>
      <xdr:rowOff>90487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51940</xdr:rowOff>
    </xdr:from>
    <xdr:ext cx="1790105" cy="35631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0" y="51435"/>
          <a:ext cx="1790065" cy="356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三只松鼠</a:t>
          </a:r>
          <a:r>
            <a:rPr lang="en-US" altLang="zh-CN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-</a:t>
          </a:r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资产负债假设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62024</xdr:rowOff>
    </xdr:from>
    <xdr:ext cx="1790105" cy="35631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0" y="61595"/>
          <a:ext cx="1790065" cy="356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三只松鼠</a:t>
          </a:r>
          <a:r>
            <a:rPr lang="en-US" altLang="zh-CN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-</a:t>
          </a:r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资本开支假设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69758</xdr:rowOff>
    </xdr:from>
    <xdr:ext cx="1328441" cy="35631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0" y="69758"/>
          <a:ext cx="1328441" cy="3563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200" b="0" i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三只松鼠</a:t>
          </a:r>
          <a:r>
            <a:rPr lang="en-US" altLang="zh-CN" sz="1200" b="0" i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-</a:t>
          </a:r>
          <a:r>
            <a:rPr lang="zh-CN" altLang="en-US" sz="1200" b="0" i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利润表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53734</xdr:rowOff>
    </xdr:from>
    <xdr:ext cx="1636217" cy="35631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0" y="53734"/>
          <a:ext cx="1636217" cy="3563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三只松鼠</a:t>
          </a:r>
          <a:r>
            <a:rPr lang="en-US" altLang="zh-CN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-</a:t>
          </a:r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资产负债表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62137</xdr:rowOff>
    </xdr:from>
    <xdr:ext cx="1636217" cy="35631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62137"/>
          <a:ext cx="1636217" cy="3563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三只松鼠</a:t>
          </a:r>
          <a:r>
            <a:rPr lang="en-US" altLang="zh-CN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-</a:t>
          </a:r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现金流量表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28010;&#36130;&#36947;H/&#20844;&#21496;/&#28207;&#32929;/&#38134;&#22825;&#19979;/&#30005;&#21147;&#20844;&#21496;&#36130;&#21153;&#39044;&#27979;&#19982;&#20272;&#20540;&#27169;&#22411;-&#31572;&#266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Revenues"/>
      <sheetName val="PP&amp;E"/>
      <sheetName val="Financing"/>
      <sheetName val="Cals"/>
      <sheetName val="IS"/>
      <sheetName val="BS"/>
      <sheetName val="CFS"/>
      <sheetName val="Ratios"/>
      <sheetName val="DCF"/>
      <sheetName val="Comps"/>
      <sheetName val="1.1核心业务模型-安全边际"/>
      <sheetName val="1.核心业务模型-乐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WVX34"/>
  <sheetViews>
    <sheetView showGridLines="0" showRowColHeaders="0" topLeftCell="B13" zoomScale="86" zoomScaleNormal="86" workbookViewId="0">
      <selection activeCell="JA24" sqref="JA24"/>
    </sheetView>
  </sheetViews>
  <sheetFormatPr defaultColWidth="0" defaultRowHeight="12.75" customHeight="1" zeroHeight="1" x14ac:dyDescent="0.15"/>
  <cols>
    <col min="1" max="1" width="7.5" style="64" hidden="1"/>
    <col min="2" max="2" width="10.625" style="64" customWidth="1"/>
    <col min="3" max="3" width="0.875" style="64" customWidth="1"/>
    <col min="4" max="4" width="10.625" style="64" customWidth="1"/>
    <col min="5" max="13" width="11.625" style="64" customWidth="1"/>
    <col min="14" max="14" width="10.625" style="64" customWidth="1"/>
    <col min="15" max="15" width="0.875" style="64" customWidth="1"/>
    <col min="16" max="16" width="10.625" style="64" customWidth="1"/>
    <col min="17" max="257" width="7.5" style="64" hidden="1"/>
    <col min="258" max="258" width="10.625" style="64" customWidth="1"/>
    <col min="259" max="259" width="0.875" style="64" customWidth="1"/>
    <col min="260" max="260" width="10.625" style="64" customWidth="1"/>
    <col min="261" max="269" width="11.625" style="64" customWidth="1"/>
    <col min="270" max="270" width="10.625" style="64" customWidth="1"/>
    <col min="271" max="271" width="0.875" style="64" customWidth="1"/>
    <col min="272" max="272" width="10.625" style="64" customWidth="1"/>
    <col min="273" max="513" width="7.5" style="64" hidden="1"/>
    <col min="514" max="514" width="10.625" style="64" customWidth="1"/>
    <col min="515" max="515" width="0.875" style="64" customWidth="1"/>
    <col min="516" max="516" width="10.625" style="64" customWidth="1"/>
    <col min="517" max="525" width="11.625" style="64" customWidth="1"/>
    <col min="526" max="526" width="10.625" style="64" customWidth="1"/>
    <col min="527" max="527" width="0.875" style="64" customWidth="1"/>
    <col min="528" max="528" width="10.625" style="64" customWidth="1"/>
    <col min="529" max="769" width="7.5" style="64" hidden="1"/>
    <col min="770" max="770" width="10.625" style="64" customWidth="1"/>
    <col min="771" max="771" width="0.875" style="64" customWidth="1"/>
    <col min="772" max="772" width="10.625" style="64" customWidth="1"/>
    <col min="773" max="781" width="11.625" style="64" customWidth="1"/>
    <col min="782" max="782" width="10.625" style="64" customWidth="1"/>
    <col min="783" max="783" width="0.875" style="64" customWidth="1"/>
    <col min="784" max="784" width="10.625" style="64" customWidth="1"/>
    <col min="785" max="1025" width="7.5" style="64" hidden="1"/>
    <col min="1026" max="1026" width="10.625" style="64" customWidth="1"/>
    <col min="1027" max="1027" width="0.875" style="64" customWidth="1"/>
    <col min="1028" max="1028" width="10.625" style="64" customWidth="1"/>
    <col min="1029" max="1037" width="11.625" style="64" customWidth="1"/>
    <col min="1038" max="1038" width="10.625" style="64" customWidth="1"/>
    <col min="1039" max="1039" width="0.875" style="64" customWidth="1"/>
    <col min="1040" max="1040" width="10.625" style="64" customWidth="1"/>
    <col min="1041" max="1281" width="7.5" style="64" hidden="1"/>
    <col min="1282" max="1282" width="10.625" style="64" customWidth="1"/>
    <col min="1283" max="1283" width="0.875" style="64" customWidth="1"/>
    <col min="1284" max="1284" width="10.625" style="64" customWidth="1"/>
    <col min="1285" max="1293" width="11.625" style="64" customWidth="1"/>
    <col min="1294" max="1294" width="10.625" style="64" customWidth="1"/>
    <col min="1295" max="1295" width="0.875" style="64" customWidth="1"/>
    <col min="1296" max="1296" width="10.625" style="64" customWidth="1"/>
    <col min="1297" max="1537" width="7.5" style="64" hidden="1"/>
    <col min="1538" max="1538" width="10.625" style="64" customWidth="1"/>
    <col min="1539" max="1539" width="0.875" style="64" customWidth="1"/>
    <col min="1540" max="1540" width="10.625" style="64" customWidth="1"/>
    <col min="1541" max="1549" width="11.625" style="64" customWidth="1"/>
    <col min="1550" max="1550" width="10.625" style="64" customWidth="1"/>
    <col min="1551" max="1551" width="0.875" style="64" customWidth="1"/>
    <col min="1552" max="1552" width="10.625" style="64" customWidth="1"/>
    <col min="1553" max="1793" width="7.5" style="64" hidden="1"/>
    <col min="1794" max="1794" width="10.625" style="64" customWidth="1"/>
    <col min="1795" max="1795" width="0.875" style="64" customWidth="1"/>
    <col min="1796" max="1796" width="10.625" style="64" customWidth="1"/>
    <col min="1797" max="1805" width="11.625" style="64" customWidth="1"/>
    <col min="1806" max="1806" width="10.625" style="64" customWidth="1"/>
    <col min="1807" max="1807" width="0.875" style="64" customWidth="1"/>
    <col min="1808" max="1808" width="10.625" style="64" customWidth="1"/>
    <col min="1809" max="2049" width="7.5" style="64" hidden="1"/>
    <col min="2050" max="2050" width="10.625" style="64" customWidth="1"/>
    <col min="2051" max="2051" width="0.875" style="64" customWidth="1"/>
    <col min="2052" max="2052" width="10.625" style="64" customWidth="1"/>
    <col min="2053" max="2061" width="11.625" style="64" customWidth="1"/>
    <col min="2062" max="2062" width="10.625" style="64" customWidth="1"/>
    <col min="2063" max="2063" width="0.875" style="64" customWidth="1"/>
    <col min="2064" max="2064" width="10.625" style="64" customWidth="1"/>
    <col min="2065" max="2305" width="7.5" style="64" hidden="1"/>
    <col min="2306" max="2306" width="10.625" style="64" customWidth="1"/>
    <col min="2307" max="2307" width="0.875" style="64" customWidth="1"/>
    <col min="2308" max="2308" width="10.625" style="64" customWidth="1"/>
    <col min="2309" max="2317" width="11.625" style="64" customWidth="1"/>
    <col min="2318" max="2318" width="10.625" style="64" customWidth="1"/>
    <col min="2319" max="2319" width="0.875" style="64" customWidth="1"/>
    <col min="2320" max="2320" width="10.625" style="64" customWidth="1"/>
    <col min="2321" max="2561" width="7.5" style="64" hidden="1"/>
    <col min="2562" max="2562" width="10.625" style="64" customWidth="1"/>
    <col min="2563" max="2563" width="0.875" style="64" customWidth="1"/>
    <col min="2564" max="2564" width="10.625" style="64" customWidth="1"/>
    <col min="2565" max="2573" width="11.625" style="64" customWidth="1"/>
    <col min="2574" max="2574" width="10.625" style="64" customWidth="1"/>
    <col min="2575" max="2575" width="0.875" style="64" customWidth="1"/>
    <col min="2576" max="2576" width="10.625" style="64" customWidth="1"/>
    <col min="2577" max="2817" width="7.5" style="64" hidden="1"/>
    <col min="2818" max="2818" width="10.625" style="64" customWidth="1"/>
    <col min="2819" max="2819" width="0.875" style="64" customWidth="1"/>
    <col min="2820" max="2820" width="10.625" style="64" customWidth="1"/>
    <col min="2821" max="2829" width="11.625" style="64" customWidth="1"/>
    <col min="2830" max="2830" width="10.625" style="64" customWidth="1"/>
    <col min="2831" max="2831" width="0.875" style="64" customWidth="1"/>
    <col min="2832" max="2832" width="10.625" style="64" customWidth="1"/>
    <col min="2833" max="3073" width="7.5" style="64" hidden="1"/>
    <col min="3074" max="3074" width="10.625" style="64" customWidth="1"/>
    <col min="3075" max="3075" width="0.875" style="64" customWidth="1"/>
    <col min="3076" max="3076" width="10.625" style="64" customWidth="1"/>
    <col min="3077" max="3085" width="11.625" style="64" customWidth="1"/>
    <col min="3086" max="3086" width="10.625" style="64" customWidth="1"/>
    <col min="3087" max="3087" width="0.875" style="64" customWidth="1"/>
    <col min="3088" max="3088" width="10.625" style="64" customWidth="1"/>
    <col min="3089" max="3329" width="7.5" style="64" hidden="1"/>
    <col min="3330" max="3330" width="10.625" style="64" customWidth="1"/>
    <col min="3331" max="3331" width="0.875" style="64" customWidth="1"/>
    <col min="3332" max="3332" width="10.625" style="64" customWidth="1"/>
    <col min="3333" max="3341" width="11.625" style="64" customWidth="1"/>
    <col min="3342" max="3342" width="10.625" style="64" customWidth="1"/>
    <col min="3343" max="3343" width="0.875" style="64" customWidth="1"/>
    <col min="3344" max="3344" width="10.625" style="64" customWidth="1"/>
    <col min="3345" max="3585" width="7.5" style="64" hidden="1"/>
    <col min="3586" max="3586" width="10.625" style="64" customWidth="1"/>
    <col min="3587" max="3587" width="0.875" style="64" customWidth="1"/>
    <col min="3588" max="3588" width="10.625" style="64" customWidth="1"/>
    <col min="3589" max="3597" width="11.625" style="64" customWidth="1"/>
    <col min="3598" max="3598" width="10.625" style="64" customWidth="1"/>
    <col min="3599" max="3599" width="0.875" style="64" customWidth="1"/>
    <col min="3600" max="3600" width="10.625" style="64" customWidth="1"/>
    <col min="3601" max="3841" width="7.5" style="64" hidden="1"/>
    <col min="3842" max="3842" width="10.625" style="64" customWidth="1"/>
    <col min="3843" max="3843" width="0.875" style="64" customWidth="1"/>
    <col min="3844" max="3844" width="10.625" style="64" customWidth="1"/>
    <col min="3845" max="3853" width="11.625" style="64" customWidth="1"/>
    <col min="3854" max="3854" width="10.625" style="64" customWidth="1"/>
    <col min="3855" max="3855" width="0.875" style="64" customWidth="1"/>
    <col min="3856" max="3856" width="10.625" style="64" customWidth="1"/>
    <col min="3857" max="4097" width="7.5" style="64" hidden="1"/>
    <col min="4098" max="4098" width="10.625" style="64" customWidth="1"/>
    <col min="4099" max="4099" width="0.875" style="64" customWidth="1"/>
    <col min="4100" max="4100" width="10.625" style="64" customWidth="1"/>
    <col min="4101" max="4109" width="11.625" style="64" customWidth="1"/>
    <col min="4110" max="4110" width="10.625" style="64" customWidth="1"/>
    <col min="4111" max="4111" width="0.875" style="64" customWidth="1"/>
    <col min="4112" max="4112" width="10.625" style="64" customWidth="1"/>
    <col min="4113" max="4353" width="7.5" style="64" hidden="1"/>
    <col min="4354" max="4354" width="10.625" style="64" customWidth="1"/>
    <col min="4355" max="4355" width="0.875" style="64" customWidth="1"/>
    <col min="4356" max="4356" width="10.625" style="64" customWidth="1"/>
    <col min="4357" max="4365" width="11.625" style="64" customWidth="1"/>
    <col min="4366" max="4366" width="10.625" style="64" customWidth="1"/>
    <col min="4367" max="4367" width="0.875" style="64" customWidth="1"/>
    <col min="4368" max="4368" width="10.625" style="64" customWidth="1"/>
    <col min="4369" max="4609" width="7.5" style="64" hidden="1"/>
    <col min="4610" max="4610" width="10.625" style="64" customWidth="1"/>
    <col min="4611" max="4611" width="0.875" style="64" customWidth="1"/>
    <col min="4612" max="4612" width="10.625" style="64" customWidth="1"/>
    <col min="4613" max="4621" width="11.625" style="64" customWidth="1"/>
    <col min="4622" max="4622" width="10.625" style="64" customWidth="1"/>
    <col min="4623" max="4623" width="0.875" style="64" customWidth="1"/>
    <col min="4624" max="4624" width="10.625" style="64" customWidth="1"/>
    <col min="4625" max="4865" width="7.5" style="64" hidden="1"/>
    <col min="4866" max="4866" width="10.625" style="64" customWidth="1"/>
    <col min="4867" max="4867" width="0.875" style="64" customWidth="1"/>
    <col min="4868" max="4868" width="10.625" style="64" customWidth="1"/>
    <col min="4869" max="4877" width="11.625" style="64" customWidth="1"/>
    <col min="4878" max="4878" width="10.625" style="64" customWidth="1"/>
    <col min="4879" max="4879" width="0.875" style="64" customWidth="1"/>
    <col min="4880" max="4880" width="10.625" style="64" customWidth="1"/>
    <col min="4881" max="5121" width="7.5" style="64" hidden="1"/>
    <col min="5122" max="5122" width="10.625" style="64" customWidth="1"/>
    <col min="5123" max="5123" width="0.875" style="64" customWidth="1"/>
    <col min="5124" max="5124" width="10.625" style="64" customWidth="1"/>
    <col min="5125" max="5133" width="11.625" style="64" customWidth="1"/>
    <col min="5134" max="5134" width="10.625" style="64" customWidth="1"/>
    <col min="5135" max="5135" width="0.875" style="64" customWidth="1"/>
    <col min="5136" max="5136" width="10.625" style="64" customWidth="1"/>
    <col min="5137" max="5377" width="7.5" style="64" hidden="1"/>
    <col min="5378" max="5378" width="10.625" style="64" customWidth="1"/>
    <col min="5379" max="5379" width="0.875" style="64" customWidth="1"/>
    <col min="5380" max="5380" width="10.625" style="64" customWidth="1"/>
    <col min="5381" max="5389" width="11.625" style="64" customWidth="1"/>
    <col min="5390" max="5390" width="10.625" style="64" customWidth="1"/>
    <col min="5391" max="5391" width="0.875" style="64" customWidth="1"/>
    <col min="5392" max="5392" width="10.625" style="64" customWidth="1"/>
    <col min="5393" max="5633" width="7.5" style="64" hidden="1"/>
    <col min="5634" max="5634" width="10.625" style="64" customWidth="1"/>
    <col min="5635" max="5635" width="0.875" style="64" customWidth="1"/>
    <col min="5636" max="5636" width="10.625" style="64" customWidth="1"/>
    <col min="5637" max="5645" width="11.625" style="64" customWidth="1"/>
    <col min="5646" max="5646" width="10.625" style="64" customWidth="1"/>
    <col min="5647" max="5647" width="0.875" style="64" customWidth="1"/>
    <col min="5648" max="5648" width="10.625" style="64" customWidth="1"/>
    <col min="5649" max="5889" width="7.5" style="64" hidden="1"/>
    <col min="5890" max="5890" width="10.625" style="64" customWidth="1"/>
    <col min="5891" max="5891" width="0.875" style="64" customWidth="1"/>
    <col min="5892" max="5892" width="10.625" style="64" customWidth="1"/>
    <col min="5893" max="5901" width="11.625" style="64" customWidth="1"/>
    <col min="5902" max="5902" width="10.625" style="64" customWidth="1"/>
    <col min="5903" max="5903" width="0.875" style="64" customWidth="1"/>
    <col min="5904" max="5904" width="10.625" style="64" customWidth="1"/>
    <col min="5905" max="6145" width="7.5" style="64" hidden="1"/>
    <col min="6146" max="6146" width="10.625" style="64" customWidth="1"/>
    <col min="6147" max="6147" width="0.875" style="64" customWidth="1"/>
    <col min="6148" max="6148" width="10.625" style="64" customWidth="1"/>
    <col min="6149" max="6157" width="11.625" style="64" customWidth="1"/>
    <col min="6158" max="6158" width="10.625" style="64" customWidth="1"/>
    <col min="6159" max="6159" width="0.875" style="64" customWidth="1"/>
    <col min="6160" max="6160" width="10.625" style="64" customWidth="1"/>
    <col min="6161" max="6401" width="7.5" style="64" hidden="1"/>
    <col min="6402" max="6402" width="10.625" style="64" customWidth="1"/>
    <col min="6403" max="6403" width="0.875" style="64" customWidth="1"/>
    <col min="6404" max="6404" width="10.625" style="64" customWidth="1"/>
    <col min="6405" max="6413" width="11.625" style="64" customWidth="1"/>
    <col min="6414" max="6414" width="10.625" style="64" customWidth="1"/>
    <col min="6415" max="6415" width="0.875" style="64" customWidth="1"/>
    <col min="6416" max="6416" width="10.625" style="64" customWidth="1"/>
    <col min="6417" max="6657" width="7.5" style="64" hidden="1"/>
    <col min="6658" max="6658" width="10.625" style="64" customWidth="1"/>
    <col min="6659" max="6659" width="0.875" style="64" customWidth="1"/>
    <col min="6660" max="6660" width="10.625" style="64" customWidth="1"/>
    <col min="6661" max="6669" width="11.625" style="64" customWidth="1"/>
    <col min="6670" max="6670" width="10.625" style="64" customWidth="1"/>
    <col min="6671" max="6671" width="0.875" style="64" customWidth="1"/>
    <col min="6672" max="6672" width="10.625" style="64" customWidth="1"/>
    <col min="6673" max="6913" width="7.5" style="64" hidden="1"/>
    <col min="6914" max="6914" width="10.625" style="64" customWidth="1"/>
    <col min="6915" max="6915" width="0.875" style="64" customWidth="1"/>
    <col min="6916" max="6916" width="10.625" style="64" customWidth="1"/>
    <col min="6917" max="6925" width="11.625" style="64" customWidth="1"/>
    <col min="6926" max="6926" width="10.625" style="64" customWidth="1"/>
    <col min="6927" max="6927" width="0.875" style="64" customWidth="1"/>
    <col min="6928" max="6928" width="10.625" style="64" customWidth="1"/>
    <col min="6929" max="7169" width="7.5" style="64" hidden="1"/>
    <col min="7170" max="7170" width="10.625" style="64" customWidth="1"/>
    <col min="7171" max="7171" width="0.875" style="64" customWidth="1"/>
    <col min="7172" max="7172" width="10.625" style="64" customWidth="1"/>
    <col min="7173" max="7181" width="11.625" style="64" customWidth="1"/>
    <col min="7182" max="7182" width="10.625" style="64" customWidth="1"/>
    <col min="7183" max="7183" width="0.875" style="64" customWidth="1"/>
    <col min="7184" max="7184" width="10.625" style="64" customWidth="1"/>
    <col min="7185" max="7425" width="7.5" style="64" hidden="1"/>
    <col min="7426" max="7426" width="10.625" style="64" customWidth="1"/>
    <col min="7427" max="7427" width="0.875" style="64" customWidth="1"/>
    <col min="7428" max="7428" width="10.625" style="64" customWidth="1"/>
    <col min="7429" max="7437" width="11.625" style="64" customWidth="1"/>
    <col min="7438" max="7438" width="10.625" style="64" customWidth="1"/>
    <col min="7439" max="7439" width="0.875" style="64" customWidth="1"/>
    <col min="7440" max="7440" width="10.625" style="64" customWidth="1"/>
    <col min="7441" max="7681" width="7.5" style="64" hidden="1"/>
    <col min="7682" max="7682" width="10.625" style="64" customWidth="1"/>
    <col min="7683" max="7683" width="0.875" style="64" customWidth="1"/>
    <col min="7684" max="7684" width="10.625" style="64" customWidth="1"/>
    <col min="7685" max="7693" width="11.625" style="64" customWidth="1"/>
    <col min="7694" max="7694" width="10.625" style="64" customWidth="1"/>
    <col min="7695" max="7695" width="0.875" style="64" customWidth="1"/>
    <col min="7696" max="7696" width="10.625" style="64" customWidth="1"/>
    <col min="7697" max="7937" width="7.5" style="64" hidden="1"/>
    <col min="7938" max="7938" width="10.625" style="64" customWidth="1"/>
    <col min="7939" max="7939" width="0.875" style="64" customWidth="1"/>
    <col min="7940" max="7940" width="10.625" style="64" customWidth="1"/>
    <col min="7941" max="7949" width="11.625" style="64" customWidth="1"/>
    <col min="7950" max="7950" width="10.625" style="64" customWidth="1"/>
    <col min="7951" max="7951" width="0.875" style="64" customWidth="1"/>
    <col min="7952" max="7952" width="10.625" style="64" customWidth="1"/>
    <col min="7953" max="8193" width="7.5" style="64" hidden="1"/>
    <col min="8194" max="8194" width="10.625" style="64" customWidth="1"/>
    <col min="8195" max="8195" width="0.875" style="64" customWidth="1"/>
    <col min="8196" max="8196" width="10.625" style="64" customWidth="1"/>
    <col min="8197" max="8205" width="11.625" style="64" customWidth="1"/>
    <col min="8206" max="8206" width="10.625" style="64" customWidth="1"/>
    <col min="8207" max="8207" width="0.875" style="64" customWidth="1"/>
    <col min="8208" max="8208" width="10.625" style="64" customWidth="1"/>
    <col min="8209" max="8449" width="7.5" style="64" hidden="1"/>
    <col min="8450" max="8450" width="10.625" style="64" customWidth="1"/>
    <col min="8451" max="8451" width="0.875" style="64" customWidth="1"/>
    <col min="8452" max="8452" width="10.625" style="64" customWidth="1"/>
    <col min="8453" max="8461" width="11.625" style="64" customWidth="1"/>
    <col min="8462" max="8462" width="10.625" style="64" customWidth="1"/>
    <col min="8463" max="8463" width="0.875" style="64" customWidth="1"/>
    <col min="8464" max="8464" width="10.625" style="64" customWidth="1"/>
    <col min="8465" max="8705" width="7.5" style="64" hidden="1"/>
    <col min="8706" max="8706" width="10.625" style="64" customWidth="1"/>
    <col min="8707" max="8707" width="0.875" style="64" customWidth="1"/>
    <col min="8708" max="8708" width="10.625" style="64" customWidth="1"/>
    <col min="8709" max="8717" width="11.625" style="64" customWidth="1"/>
    <col min="8718" max="8718" width="10.625" style="64" customWidth="1"/>
    <col min="8719" max="8719" width="0.875" style="64" customWidth="1"/>
    <col min="8720" max="8720" width="10.625" style="64" customWidth="1"/>
    <col min="8721" max="8961" width="7.5" style="64" hidden="1"/>
    <col min="8962" max="8962" width="10.625" style="64" customWidth="1"/>
    <col min="8963" max="8963" width="0.875" style="64" customWidth="1"/>
    <col min="8964" max="8964" width="10.625" style="64" customWidth="1"/>
    <col min="8965" max="8973" width="11.625" style="64" customWidth="1"/>
    <col min="8974" max="8974" width="10.625" style="64" customWidth="1"/>
    <col min="8975" max="8975" width="0.875" style="64" customWidth="1"/>
    <col min="8976" max="8976" width="10.625" style="64" customWidth="1"/>
    <col min="8977" max="9217" width="7.5" style="64" hidden="1"/>
    <col min="9218" max="9218" width="10.625" style="64" customWidth="1"/>
    <col min="9219" max="9219" width="0.875" style="64" customWidth="1"/>
    <col min="9220" max="9220" width="10.625" style="64" customWidth="1"/>
    <col min="9221" max="9229" width="11.625" style="64" customWidth="1"/>
    <col min="9230" max="9230" width="10.625" style="64" customWidth="1"/>
    <col min="9231" max="9231" width="0.875" style="64" customWidth="1"/>
    <col min="9232" max="9232" width="10.625" style="64" customWidth="1"/>
    <col min="9233" max="9473" width="7.5" style="64" hidden="1"/>
    <col min="9474" max="9474" width="10.625" style="64" customWidth="1"/>
    <col min="9475" max="9475" width="0.875" style="64" customWidth="1"/>
    <col min="9476" max="9476" width="10.625" style="64" customWidth="1"/>
    <col min="9477" max="9485" width="11.625" style="64" customWidth="1"/>
    <col min="9486" max="9486" width="10.625" style="64" customWidth="1"/>
    <col min="9487" max="9487" width="0.875" style="64" customWidth="1"/>
    <col min="9488" max="9488" width="10.625" style="64" customWidth="1"/>
    <col min="9489" max="9729" width="7.5" style="64" hidden="1"/>
    <col min="9730" max="9730" width="10.625" style="64" customWidth="1"/>
    <col min="9731" max="9731" width="0.875" style="64" customWidth="1"/>
    <col min="9732" max="9732" width="10.625" style="64" customWidth="1"/>
    <col min="9733" max="9741" width="11.625" style="64" customWidth="1"/>
    <col min="9742" max="9742" width="10.625" style="64" customWidth="1"/>
    <col min="9743" max="9743" width="0.875" style="64" customWidth="1"/>
    <col min="9744" max="9744" width="10.625" style="64" customWidth="1"/>
    <col min="9745" max="9985" width="7.5" style="64" hidden="1"/>
    <col min="9986" max="9986" width="10.625" style="64" customWidth="1"/>
    <col min="9987" max="9987" width="0.875" style="64" customWidth="1"/>
    <col min="9988" max="9988" width="10.625" style="64" customWidth="1"/>
    <col min="9989" max="9997" width="11.625" style="64" customWidth="1"/>
    <col min="9998" max="9998" width="10.625" style="64" customWidth="1"/>
    <col min="9999" max="9999" width="0.875" style="64" customWidth="1"/>
    <col min="10000" max="10000" width="10.625" style="64" customWidth="1"/>
    <col min="10001" max="10241" width="7.5" style="64" hidden="1"/>
    <col min="10242" max="10242" width="10.625" style="64" customWidth="1"/>
    <col min="10243" max="10243" width="0.875" style="64" customWidth="1"/>
    <col min="10244" max="10244" width="10.625" style="64" customWidth="1"/>
    <col min="10245" max="10253" width="11.625" style="64" customWidth="1"/>
    <col min="10254" max="10254" width="10.625" style="64" customWidth="1"/>
    <col min="10255" max="10255" width="0.875" style="64" customWidth="1"/>
    <col min="10256" max="10256" width="10.625" style="64" customWidth="1"/>
    <col min="10257" max="10497" width="7.5" style="64" hidden="1"/>
    <col min="10498" max="10498" width="10.625" style="64" customWidth="1"/>
    <col min="10499" max="10499" width="0.875" style="64" customWidth="1"/>
    <col min="10500" max="10500" width="10.625" style="64" customWidth="1"/>
    <col min="10501" max="10509" width="11.625" style="64" customWidth="1"/>
    <col min="10510" max="10510" width="10.625" style="64" customWidth="1"/>
    <col min="10511" max="10511" width="0.875" style="64" customWidth="1"/>
    <col min="10512" max="10512" width="10.625" style="64" customWidth="1"/>
    <col min="10513" max="10753" width="7.5" style="64" hidden="1"/>
    <col min="10754" max="10754" width="10.625" style="64" customWidth="1"/>
    <col min="10755" max="10755" width="0.875" style="64" customWidth="1"/>
    <col min="10756" max="10756" width="10.625" style="64" customWidth="1"/>
    <col min="10757" max="10765" width="11.625" style="64" customWidth="1"/>
    <col min="10766" max="10766" width="10.625" style="64" customWidth="1"/>
    <col min="10767" max="10767" width="0.875" style="64" customWidth="1"/>
    <col min="10768" max="10768" width="10.625" style="64" customWidth="1"/>
    <col min="10769" max="11009" width="7.5" style="64" hidden="1"/>
    <col min="11010" max="11010" width="10.625" style="64" customWidth="1"/>
    <col min="11011" max="11011" width="0.875" style="64" customWidth="1"/>
    <col min="11012" max="11012" width="10.625" style="64" customWidth="1"/>
    <col min="11013" max="11021" width="11.625" style="64" customWidth="1"/>
    <col min="11022" max="11022" width="10.625" style="64" customWidth="1"/>
    <col min="11023" max="11023" width="0.875" style="64" customWidth="1"/>
    <col min="11024" max="11024" width="10.625" style="64" customWidth="1"/>
    <col min="11025" max="11265" width="7.5" style="64" hidden="1"/>
    <col min="11266" max="11266" width="10.625" style="64" customWidth="1"/>
    <col min="11267" max="11267" width="0.875" style="64" customWidth="1"/>
    <col min="11268" max="11268" width="10.625" style="64" customWidth="1"/>
    <col min="11269" max="11277" width="11.625" style="64" customWidth="1"/>
    <col min="11278" max="11278" width="10.625" style="64" customWidth="1"/>
    <col min="11279" max="11279" width="0.875" style="64" customWidth="1"/>
    <col min="11280" max="11280" width="10.625" style="64" customWidth="1"/>
    <col min="11281" max="11521" width="7.5" style="64" hidden="1"/>
    <col min="11522" max="11522" width="10.625" style="64" customWidth="1"/>
    <col min="11523" max="11523" width="0.875" style="64" customWidth="1"/>
    <col min="11524" max="11524" width="10.625" style="64" customWidth="1"/>
    <col min="11525" max="11533" width="11.625" style="64" customWidth="1"/>
    <col min="11534" max="11534" width="10.625" style="64" customWidth="1"/>
    <col min="11535" max="11535" width="0.875" style="64" customWidth="1"/>
    <col min="11536" max="11536" width="10.625" style="64" customWidth="1"/>
    <col min="11537" max="11777" width="7.5" style="64" hidden="1"/>
    <col min="11778" max="11778" width="10.625" style="64" customWidth="1"/>
    <col min="11779" max="11779" width="0.875" style="64" customWidth="1"/>
    <col min="11780" max="11780" width="10.625" style="64" customWidth="1"/>
    <col min="11781" max="11789" width="11.625" style="64" customWidth="1"/>
    <col min="11790" max="11790" width="10.625" style="64" customWidth="1"/>
    <col min="11791" max="11791" width="0.875" style="64" customWidth="1"/>
    <col min="11792" max="11792" width="10.625" style="64" customWidth="1"/>
    <col min="11793" max="12033" width="7.5" style="64" hidden="1"/>
    <col min="12034" max="12034" width="10.625" style="64" customWidth="1"/>
    <col min="12035" max="12035" width="0.875" style="64" customWidth="1"/>
    <col min="12036" max="12036" width="10.625" style="64" customWidth="1"/>
    <col min="12037" max="12045" width="11.625" style="64" customWidth="1"/>
    <col min="12046" max="12046" width="10.625" style="64" customWidth="1"/>
    <col min="12047" max="12047" width="0.875" style="64" customWidth="1"/>
    <col min="12048" max="12048" width="10.625" style="64" customWidth="1"/>
    <col min="12049" max="12289" width="7.5" style="64" hidden="1"/>
    <col min="12290" max="12290" width="10.625" style="64" customWidth="1"/>
    <col min="12291" max="12291" width="0.875" style="64" customWidth="1"/>
    <col min="12292" max="12292" width="10.625" style="64" customWidth="1"/>
    <col min="12293" max="12301" width="11.625" style="64" customWidth="1"/>
    <col min="12302" max="12302" width="10.625" style="64" customWidth="1"/>
    <col min="12303" max="12303" width="0.875" style="64" customWidth="1"/>
    <col min="12304" max="12304" width="10.625" style="64" customWidth="1"/>
    <col min="12305" max="12545" width="7.5" style="64" hidden="1"/>
    <col min="12546" max="12546" width="10.625" style="64" customWidth="1"/>
    <col min="12547" max="12547" width="0.875" style="64" customWidth="1"/>
    <col min="12548" max="12548" width="10.625" style="64" customWidth="1"/>
    <col min="12549" max="12557" width="11.625" style="64" customWidth="1"/>
    <col min="12558" max="12558" width="10.625" style="64" customWidth="1"/>
    <col min="12559" max="12559" width="0.875" style="64" customWidth="1"/>
    <col min="12560" max="12560" width="10.625" style="64" customWidth="1"/>
    <col min="12561" max="12801" width="7.5" style="64" hidden="1"/>
    <col min="12802" max="12802" width="10.625" style="64" customWidth="1"/>
    <col min="12803" max="12803" width="0.875" style="64" customWidth="1"/>
    <col min="12804" max="12804" width="10.625" style="64" customWidth="1"/>
    <col min="12805" max="12813" width="11.625" style="64" customWidth="1"/>
    <col min="12814" max="12814" width="10.625" style="64" customWidth="1"/>
    <col min="12815" max="12815" width="0.875" style="64" customWidth="1"/>
    <col min="12816" max="12816" width="10.625" style="64" customWidth="1"/>
    <col min="12817" max="13057" width="7.5" style="64" hidden="1"/>
    <col min="13058" max="13058" width="10.625" style="64" customWidth="1"/>
    <col min="13059" max="13059" width="0.875" style="64" customWidth="1"/>
    <col min="13060" max="13060" width="10.625" style="64" customWidth="1"/>
    <col min="13061" max="13069" width="11.625" style="64" customWidth="1"/>
    <col min="13070" max="13070" width="10.625" style="64" customWidth="1"/>
    <col min="13071" max="13071" width="0.875" style="64" customWidth="1"/>
    <col min="13072" max="13072" width="10.625" style="64" customWidth="1"/>
    <col min="13073" max="13313" width="7.5" style="64" hidden="1"/>
    <col min="13314" max="13314" width="10.625" style="64" customWidth="1"/>
    <col min="13315" max="13315" width="0.875" style="64" customWidth="1"/>
    <col min="13316" max="13316" width="10.625" style="64" customWidth="1"/>
    <col min="13317" max="13325" width="11.625" style="64" customWidth="1"/>
    <col min="13326" max="13326" width="10.625" style="64" customWidth="1"/>
    <col min="13327" max="13327" width="0.875" style="64" customWidth="1"/>
    <col min="13328" max="13328" width="10.625" style="64" customWidth="1"/>
    <col min="13329" max="13569" width="7.5" style="64" hidden="1"/>
    <col min="13570" max="13570" width="10.625" style="64" customWidth="1"/>
    <col min="13571" max="13571" width="0.875" style="64" customWidth="1"/>
    <col min="13572" max="13572" width="10.625" style="64" customWidth="1"/>
    <col min="13573" max="13581" width="11.625" style="64" customWidth="1"/>
    <col min="13582" max="13582" width="10.625" style="64" customWidth="1"/>
    <col min="13583" max="13583" width="0.875" style="64" customWidth="1"/>
    <col min="13584" max="13584" width="10.625" style="64" customWidth="1"/>
    <col min="13585" max="13825" width="7.5" style="64" hidden="1"/>
    <col min="13826" max="13826" width="10.625" style="64" customWidth="1"/>
    <col min="13827" max="13827" width="0.875" style="64" customWidth="1"/>
    <col min="13828" max="13828" width="10.625" style="64" customWidth="1"/>
    <col min="13829" max="13837" width="11.625" style="64" customWidth="1"/>
    <col min="13838" max="13838" width="10.625" style="64" customWidth="1"/>
    <col min="13839" max="13839" width="0.875" style="64" customWidth="1"/>
    <col min="13840" max="13840" width="10.625" style="64" customWidth="1"/>
    <col min="13841" max="14081" width="7.5" style="64" hidden="1"/>
    <col min="14082" max="14082" width="10.625" style="64" customWidth="1"/>
    <col min="14083" max="14083" width="0.875" style="64" customWidth="1"/>
    <col min="14084" max="14084" width="10.625" style="64" customWidth="1"/>
    <col min="14085" max="14093" width="11.625" style="64" customWidth="1"/>
    <col min="14094" max="14094" width="10.625" style="64" customWidth="1"/>
    <col min="14095" max="14095" width="0.875" style="64" customWidth="1"/>
    <col min="14096" max="14096" width="10.625" style="64" customWidth="1"/>
    <col min="14097" max="14337" width="7.5" style="64" hidden="1"/>
    <col min="14338" max="14338" width="10.625" style="64" customWidth="1"/>
    <col min="14339" max="14339" width="0.875" style="64" customWidth="1"/>
    <col min="14340" max="14340" width="10.625" style="64" customWidth="1"/>
    <col min="14341" max="14349" width="11.625" style="64" customWidth="1"/>
    <col min="14350" max="14350" width="10.625" style="64" customWidth="1"/>
    <col min="14351" max="14351" width="0.875" style="64" customWidth="1"/>
    <col min="14352" max="14352" width="10.625" style="64" customWidth="1"/>
    <col min="14353" max="14593" width="7.5" style="64" hidden="1"/>
    <col min="14594" max="14594" width="10.625" style="64" customWidth="1"/>
    <col min="14595" max="14595" width="0.875" style="64" customWidth="1"/>
    <col min="14596" max="14596" width="10.625" style="64" customWidth="1"/>
    <col min="14597" max="14605" width="11.625" style="64" customWidth="1"/>
    <col min="14606" max="14606" width="10.625" style="64" customWidth="1"/>
    <col min="14607" max="14607" width="0.875" style="64" customWidth="1"/>
    <col min="14608" max="14608" width="10.625" style="64" customWidth="1"/>
    <col min="14609" max="14849" width="7.5" style="64" hidden="1"/>
    <col min="14850" max="14850" width="10.625" style="64" customWidth="1"/>
    <col min="14851" max="14851" width="0.875" style="64" customWidth="1"/>
    <col min="14852" max="14852" width="10.625" style="64" customWidth="1"/>
    <col min="14853" max="14861" width="11.625" style="64" customWidth="1"/>
    <col min="14862" max="14862" width="10.625" style="64" customWidth="1"/>
    <col min="14863" max="14863" width="0.875" style="64" customWidth="1"/>
    <col min="14864" max="14864" width="10.625" style="64" customWidth="1"/>
    <col min="14865" max="15105" width="7.5" style="64" hidden="1"/>
    <col min="15106" max="15106" width="10.625" style="64" customWidth="1"/>
    <col min="15107" max="15107" width="0.875" style="64" customWidth="1"/>
    <col min="15108" max="15108" width="10.625" style="64" customWidth="1"/>
    <col min="15109" max="15117" width="11.625" style="64" customWidth="1"/>
    <col min="15118" max="15118" width="10.625" style="64" customWidth="1"/>
    <col min="15119" max="15119" width="0.875" style="64" customWidth="1"/>
    <col min="15120" max="15120" width="10.625" style="64" customWidth="1"/>
    <col min="15121" max="15361" width="7.5" style="64" hidden="1"/>
    <col min="15362" max="15362" width="10.625" style="64" customWidth="1"/>
    <col min="15363" max="15363" width="0.875" style="64" customWidth="1"/>
    <col min="15364" max="15364" width="10.625" style="64" customWidth="1"/>
    <col min="15365" max="15373" width="11.625" style="64" customWidth="1"/>
    <col min="15374" max="15374" width="10.625" style="64" customWidth="1"/>
    <col min="15375" max="15375" width="0.875" style="64" customWidth="1"/>
    <col min="15376" max="15376" width="10.625" style="64" customWidth="1"/>
    <col min="15377" max="15617" width="7.5" style="64" hidden="1"/>
    <col min="15618" max="15618" width="10.625" style="64" customWidth="1"/>
    <col min="15619" max="15619" width="0.875" style="64" customWidth="1"/>
    <col min="15620" max="15620" width="10.625" style="64" customWidth="1"/>
    <col min="15621" max="15629" width="11.625" style="64" customWidth="1"/>
    <col min="15630" max="15630" width="10.625" style="64" customWidth="1"/>
    <col min="15631" max="15631" width="0.875" style="64" customWidth="1"/>
    <col min="15632" max="15632" width="10.625" style="64" customWidth="1"/>
    <col min="15633" max="15873" width="7.5" style="64" hidden="1"/>
    <col min="15874" max="15874" width="10.625" style="64" customWidth="1"/>
    <col min="15875" max="15875" width="0.875" style="64" customWidth="1"/>
    <col min="15876" max="15876" width="10.625" style="64" customWidth="1"/>
    <col min="15877" max="15885" width="11.625" style="64" customWidth="1"/>
    <col min="15886" max="15886" width="10.625" style="64" customWidth="1"/>
    <col min="15887" max="15887" width="0.875" style="64" customWidth="1"/>
    <col min="15888" max="15888" width="10.625" style="64" customWidth="1"/>
    <col min="15889" max="16129" width="7.5" style="64" hidden="1"/>
    <col min="16130" max="16130" width="10.625" style="64" customWidth="1"/>
    <col min="16131" max="16131" width="0.875" style="64" customWidth="1"/>
    <col min="16132" max="16132" width="10.625" style="64" customWidth="1"/>
    <col min="16133" max="16141" width="11.625" style="64" customWidth="1"/>
    <col min="16142" max="16142" width="10.625" style="64" customWidth="1"/>
    <col min="16143" max="16143" width="0.875" style="64" customWidth="1"/>
    <col min="16144" max="16144" width="10.625" style="64" customWidth="1"/>
    <col min="16145" max="16384" width="7.5" style="64" hidden="1"/>
  </cols>
  <sheetData>
    <row r="1" spans="2:16" x14ac:dyDescent="0.2">
      <c r="B1" s="321"/>
    </row>
    <row r="2" spans="2:16" x14ac:dyDescent="0.15">
      <c r="B2" s="42"/>
      <c r="C2" s="42"/>
      <c r="D2" s="42"/>
    </row>
    <row r="3" spans="2:16" x14ac:dyDescent="0.15"/>
    <row r="4" spans="2:16" ht="5.0999999999999996" customHeight="1" x14ac:dyDescent="0.15"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</row>
    <row r="5" spans="2:16" x14ac:dyDescent="0.15"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</row>
    <row r="6" spans="2:16" ht="12.75" customHeight="1" x14ac:dyDescent="0.15"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</row>
    <row r="7" spans="2:16" ht="12.75" customHeight="1" x14ac:dyDescent="0.15"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</row>
    <row r="8" spans="2:16" ht="12.75" customHeight="1" x14ac:dyDescent="0.15"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</row>
    <row r="9" spans="2:16" ht="9" customHeight="1" x14ac:dyDescent="0.2">
      <c r="B9" s="322"/>
      <c r="C9" s="322"/>
      <c r="D9" s="322"/>
      <c r="E9" s="323"/>
      <c r="F9" s="323"/>
      <c r="G9" s="323"/>
      <c r="H9" s="323"/>
      <c r="I9" s="323"/>
      <c r="J9" s="323"/>
      <c r="K9" s="323"/>
      <c r="L9" s="323"/>
      <c r="M9" s="323"/>
      <c r="N9" s="322"/>
      <c r="O9" s="322"/>
    </row>
    <row r="10" spans="2:16" ht="24" customHeight="1" x14ac:dyDescent="0.2">
      <c r="B10" s="322"/>
      <c r="C10" s="322"/>
      <c r="D10" s="322"/>
      <c r="E10" s="323"/>
      <c r="F10" s="324"/>
      <c r="G10" s="325"/>
      <c r="H10" s="325"/>
      <c r="I10" s="325"/>
      <c r="J10" s="325"/>
      <c r="K10" s="325"/>
      <c r="L10" s="325"/>
      <c r="M10" s="323"/>
      <c r="N10" s="322"/>
      <c r="O10" s="322"/>
    </row>
    <row r="11" spans="2:16" ht="24" customHeight="1" x14ac:dyDescent="0.2">
      <c r="B11" s="322"/>
      <c r="C11" s="322"/>
      <c r="D11" s="322"/>
      <c r="E11" s="326"/>
      <c r="F11" s="325"/>
      <c r="G11" s="325"/>
      <c r="H11" s="325"/>
      <c r="I11" s="325"/>
      <c r="J11" s="325"/>
      <c r="K11" s="325"/>
      <c r="L11" s="325"/>
      <c r="M11" s="326"/>
      <c r="N11" s="322"/>
      <c r="O11" s="322"/>
    </row>
    <row r="12" spans="2:16" ht="0.95" customHeight="1" x14ac:dyDescent="0.25">
      <c r="B12" s="327"/>
      <c r="C12" s="322"/>
      <c r="D12" s="327"/>
      <c r="E12" s="327"/>
      <c r="F12" s="328"/>
      <c r="G12" s="328"/>
      <c r="H12" s="329"/>
      <c r="I12" s="329"/>
      <c r="J12" s="329"/>
      <c r="K12" s="340"/>
      <c r="L12" s="327"/>
      <c r="M12" s="327"/>
      <c r="N12" s="327"/>
      <c r="O12" s="322"/>
      <c r="P12" s="341"/>
    </row>
    <row r="13" spans="2:16" ht="24" customHeight="1" x14ac:dyDescent="0.2">
      <c r="B13" s="322"/>
      <c r="C13" s="322"/>
      <c r="D13" s="322"/>
      <c r="E13" s="326"/>
      <c r="F13" s="330"/>
      <c r="G13" s="330"/>
      <c r="H13" s="330"/>
      <c r="I13" s="330"/>
      <c r="J13" s="330"/>
      <c r="K13" s="330"/>
      <c r="L13" s="330"/>
      <c r="M13" s="326"/>
      <c r="N13" s="322"/>
      <c r="O13" s="322"/>
    </row>
    <row r="14" spans="2:16" ht="24" customHeight="1" x14ac:dyDescent="0.2">
      <c r="B14" s="322"/>
      <c r="C14" s="322"/>
      <c r="D14" s="322"/>
      <c r="E14" s="326"/>
      <c r="F14" s="330"/>
      <c r="G14" s="330"/>
      <c r="H14" s="330"/>
      <c r="I14" s="330"/>
      <c r="J14" s="330"/>
      <c r="K14" s="330"/>
      <c r="L14" s="330"/>
      <c r="M14" s="326"/>
      <c r="N14" s="322"/>
      <c r="O14" s="322"/>
    </row>
    <row r="15" spans="2:16" x14ac:dyDescent="0.15"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</row>
    <row r="16" spans="2:16" x14ac:dyDescent="0.2">
      <c r="B16" s="322"/>
      <c r="C16" s="322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297"/>
      <c r="O16" s="322"/>
    </row>
    <row r="17" spans="2:15" x14ac:dyDescent="0.2">
      <c r="B17" s="322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297"/>
      <c r="O17" s="322"/>
    </row>
    <row r="18" spans="2:15" x14ac:dyDescent="0.2"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297"/>
      <c r="O18" s="322"/>
    </row>
    <row r="19" spans="2:15" ht="13.5" x14ac:dyDescent="0.15">
      <c r="B19" s="322"/>
      <c r="C19" s="322"/>
      <c r="D19" s="331"/>
      <c r="E19" s="332"/>
      <c r="F19" s="331"/>
      <c r="G19" s="331"/>
      <c r="H19" s="331"/>
      <c r="I19" s="331"/>
      <c r="J19" s="342"/>
      <c r="K19" s="342"/>
      <c r="L19" s="342"/>
      <c r="M19" s="342"/>
      <c r="N19" s="336"/>
      <c r="O19" s="322"/>
    </row>
    <row r="20" spans="2:15" ht="13.5" x14ac:dyDescent="0.15">
      <c r="B20" s="322"/>
      <c r="C20" s="322"/>
      <c r="D20" s="331"/>
      <c r="E20" s="331"/>
      <c r="F20" s="331"/>
      <c r="G20" s="331"/>
      <c r="H20" s="331"/>
      <c r="I20" s="331"/>
      <c r="J20" s="342"/>
      <c r="K20" s="342"/>
      <c r="L20" s="342"/>
      <c r="M20" s="342"/>
      <c r="N20" s="331"/>
      <c r="O20" s="322"/>
    </row>
    <row r="21" spans="2:15" ht="13.5" x14ac:dyDescent="0.15">
      <c r="B21" s="322"/>
      <c r="C21" s="322"/>
      <c r="D21" s="331"/>
      <c r="E21" s="333"/>
      <c r="F21" s="331"/>
      <c r="G21" s="334"/>
      <c r="H21" s="331"/>
      <c r="I21" s="336"/>
      <c r="J21" s="342"/>
      <c r="K21" s="342"/>
      <c r="L21" s="342"/>
      <c r="M21" s="342"/>
      <c r="N21" s="331"/>
      <c r="O21" s="322"/>
    </row>
    <row r="22" spans="2:15" ht="13.5" x14ac:dyDescent="0.15">
      <c r="B22" s="322"/>
      <c r="C22" s="322"/>
      <c r="D22" s="331"/>
      <c r="E22" s="333"/>
      <c r="F22" s="331"/>
      <c r="G22" s="335"/>
      <c r="H22" s="331"/>
      <c r="I22" s="336"/>
      <c r="J22" s="342"/>
      <c r="K22" s="342"/>
      <c r="L22" s="342"/>
      <c r="M22" s="342"/>
      <c r="N22" s="331"/>
      <c r="O22" s="322"/>
    </row>
    <row r="23" spans="2:15" ht="13.5" x14ac:dyDescent="0.15">
      <c r="B23" s="322"/>
      <c r="C23" s="322"/>
      <c r="D23" s="331"/>
      <c r="E23" s="333"/>
      <c r="F23" s="331"/>
      <c r="G23" s="335"/>
      <c r="H23" s="331"/>
      <c r="I23" s="336"/>
      <c r="J23" s="342"/>
      <c r="K23" s="342"/>
      <c r="L23" s="342"/>
      <c r="M23" s="342"/>
      <c r="N23" s="331"/>
      <c r="O23" s="322"/>
    </row>
    <row r="24" spans="2:15" ht="13.5" x14ac:dyDescent="0.15">
      <c r="B24" s="322"/>
      <c r="C24" s="322"/>
      <c r="D24" s="331"/>
      <c r="E24" s="335"/>
      <c r="F24" s="336"/>
      <c r="G24" s="335"/>
      <c r="H24" s="331"/>
      <c r="I24" s="336"/>
      <c r="J24" s="342"/>
      <c r="K24" s="342"/>
      <c r="L24" s="342"/>
      <c r="M24" s="342"/>
      <c r="N24" s="331"/>
      <c r="O24" s="322"/>
    </row>
    <row r="25" spans="2:15" ht="13.5" x14ac:dyDescent="0.15">
      <c r="B25" s="322"/>
      <c r="C25" s="322"/>
      <c r="D25" s="331"/>
      <c r="E25" s="335"/>
      <c r="F25" s="337"/>
      <c r="G25" s="335"/>
      <c r="H25" s="331"/>
      <c r="I25" s="331"/>
      <c r="J25" s="331"/>
      <c r="K25" s="331"/>
      <c r="L25" s="331"/>
      <c r="M25" s="336"/>
      <c r="N25" s="331"/>
      <c r="O25" s="322"/>
    </row>
    <row r="26" spans="2:15" ht="12.75" customHeight="1" x14ac:dyDescent="0.15">
      <c r="B26" s="322"/>
      <c r="C26" s="322"/>
      <c r="D26" s="331"/>
      <c r="E26" s="338"/>
      <c r="F26" s="337"/>
      <c r="G26" s="339"/>
      <c r="H26" s="331"/>
      <c r="I26" s="336"/>
      <c r="J26" s="337"/>
      <c r="K26" s="336"/>
      <c r="L26" s="336"/>
      <c r="M26" s="331"/>
      <c r="N26" s="331"/>
      <c r="O26" s="322"/>
    </row>
    <row r="27" spans="2:15" x14ac:dyDescent="0.15"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</row>
    <row r="28" spans="2:15" x14ac:dyDescent="0.15">
      <c r="B28" s="322"/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</row>
    <row r="29" spans="2:15" ht="5.0999999999999996" customHeight="1" x14ac:dyDescent="0.15">
      <c r="N29" s="343"/>
    </row>
    <row r="30" spans="2:15" x14ac:dyDescent="0.15"/>
    <row r="31" spans="2:15" x14ac:dyDescent="0.15"/>
    <row r="32" spans="2:15" x14ac:dyDescent="0.15"/>
    <row r="33" x14ac:dyDescent="0.15"/>
    <row r="34" hidden="1" x14ac:dyDescent="0.15"/>
  </sheetData>
  <phoneticPr fontId="52" type="noConversion"/>
  <pageMargins left="0.75" right="0.75" top="1" bottom="1" header="0.5" footer="0.5"/>
  <pageSetup paperSize="9" scale="73" orientation="portrait" horizontalDpi="180" verticalDpi="18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1454817346722"/>
  </sheetPr>
  <dimension ref="B1:P63"/>
  <sheetViews>
    <sheetView showGridLines="0" zoomScale="85" zoomScaleNormal="85" workbookViewId="0">
      <pane xSplit="3" ySplit="6" topLeftCell="D49" activePane="bottomRight" state="frozen"/>
      <selection pane="topRight"/>
      <selection pane="bottomLeft"/>
      <selection pane="bottomRight" activeCell="R13" sqref="R13"/>
    </sheetView>
  </sheetViews>
  <sheetFormatPr defaultColWidth="9" defaultRowHeight="16.5" x14ac:dyDescent="0.15"/>
  <cols>
    <col min="1" max="1" width="4.125" style="67" customWidth="1"/>
    <col min="2" max="2" width="0.875" style="67" customWidth="1"/>
    <col min="3" max="3" width="36.5" style="184" customWidth="1"/>
    <col min="4" max="7" width="14.5" style="67" hidden="1" customWidth="1"/>
    <col min="8" max="8" width="14.5" style="67" customWidth="1"/>
    <col min="9" max="13" width="13.875" style="67" customWidth="1"/>
    <col min="14" max="14" width="0.875" style="67" customWidth="1"/>
    <col min="15" max="16384" width="9" style="67"/>
  </cols>
  <sheetData>
    <row r="1" spans="2:14" s="110" customFormat="1" ht="12" customHeight="1" x14ac:dyDescent="0.15">
      <c r="C1" s="75"/>
    </row>
    <row r="2" spans="2:14" s="182" customFormat="1" ht="12" customHeight="1" x14ac:dyDescent="0.15">
      <c r="C2" s="185"/>
      <c r="H2" s="185"/>
    </row>
    <row r="3" spans="2:14" s="182" customFormat="1" ht="12" customHeight="1" x14ac:dyDescent="0.15">
      <c r="C3" s="186"/>
      <c r="D3" s="187"/>
      <c r="E3" s="187"/>
      <c r="F3" s="187"/>
      <c r="G3" s="187"/>
      <c r="H3" s="187"/>
      <c r="I3" s="201"/>
      <c r="J3" s="201"/>
      <c r="K3" s="201"/>
      <c r="L3" s="201"/>
      <c r="M3" s="139"/>
      <c r="N3" s="201"/>
    </row>
    <row r="4" spans="2:14" s="183" customFormat="1" ht="15.6" customHeight="1" x14ac:dyDescent="0.15">
      <c r="C4" s="188"/>
      <c r="D4" s="189"/>
      <c r="E4" s="189"/>
      <c r="F4" s="189"/>
      <c r="G4" s="189"/>
      <c r="H4" s="189"/>
      <c r="I4" s="202"/>
      <c r="J4" s="202"/>
      <c r="K4" s="202"/>
      <c r="L4" s="202"/>
      <c r="M4" s="202"/>
      <c r="N4" s="202"/>
    </row>
    <row r="5" spans="2:14" s="183" customFormat="1" ht="6" customHeight="1" x14ac:dyDescent="0.15">
      <c r="B5" s="182"/>
      <c r="C5" s="186"/>
      <c r="D5" s="187"/>
      <c r="E5" s="187"/>
      <c r="F5" s="187"/>
      <c r="G5" s="187"/>
      <c r="H5" s="187"/>
      <c r="I5" s="201"/>
      <c r="J5" s="201"/>
      <c r="K5" s="201"/>
      <c r="L5" s="201"/>
      <c r="M5" s="201"/>
      <c r="N5" s="201"/>
    </row>
    <row r="6" spans="2:14" s="155" customFormat="1" ht="24.95" customHeight="1" x14ac:dyDescent="0.15">
      <c r="B6" s="110"/>
      <c r="C6" s="76" t="s">
        <v>519</v>
      </c>
      <c r="D6" s="126">
        <v>2014</v>
      </c>
      <c r="E6" s="126">
        <v>2015</v>
      </c>
      <c r="F6" s="126">
        <v>2016</v>
      </c>
      <c r="G6" s="126">
        <v>2017</v>
      </c>
      <c r="H6" s="126">
        <v>2018</v>
      </c>
      <c r="I6" s="141" t="s">
        <v>28</v>
      </c>
      <c r="J6" s="141" t="s">
        <v>29</v>
      </c>
      <c r="K6" s="141" t="s">
        <v>30</v>
      </c>
      <c r="L6" s="141" t="s">
        <v>31</v>
      </c>
      <c r="M6" s="141" t="s">
        <v>32</v>
      </c>
      <c r="N6" s="110"/>
    </row>
    <row r="7" spans="2:14" ht="24.95" customHeight="1" x14ac:dyDescent="0.15">
      <c r="B7" s="110"/>
      <c r="C7" s="190" t="s">
        <v>520</v>
      </c>
      <c r="D7" s="191">
        <f>'利润表(年度)'!B5</f>
        <v>92447.27</v>
      </c>
      <c r="E7" s="191">
        <f>'利润表(年度)'!C5</f>
        <v>204306.2</v>
      </c>
      <c r="F7" s="191">
        <f>'利润表(年度)'!D5</f>
        <v>442269.62</v>
      </c>
      <c r="G7" s="191">
        <f>'利润表(年度)'!E5</f>
        <v>555418.66</v>
      </c>
      <c r="H7" s="191">
        <f>'利润表(年度)'!F5</f>
        <v>700116.7</v>
      </c>
      <c r="I7" s="191">
        <f>'利润表(年度)'!G5</f>
        <v>839901.26015175297</v>
      </c>
      <c r="J7" s="191">
        <f>'利润表(年度)'!H5</f>
        <v>954359.43213554402</v>
      </c>
      <c r="K7" s="191">
        <f>'利润表(年度)'!I5</f>
        <v>1115418.3935311553</v>
      </c>
      <c r="L7" s="191">
        <f>'利润表(年度)'!J5</f>
        <v>1335817.0308211001</v>
      </c>
      <c r="M7" s="191">
        <f>'利润表(年度)'!K5</f>
        <v>1656270.7351583226</v>
      </c>
      <c r="N7" s="110">
        <f>'利润表(年度)'!L5</f>
        <v>0</v>
      </c>
    </row>
    <row r="8" spans="2:14" ht="24.95" customHeight="1" x14ac:dyDescent="0.15">
      <c r="B8" s="110"/>
      <c r="C8" s="192" t="s">
        <v>521</v>
      </c>
      <c r="D8" s="191">
        <f>'利润表(年度)'!B6</f>
        <v>92447.27</v>
      </c>
      <c r="E8" s="191">
        <f>'利润表(年度)'!C6</f>
        <v>204306.2</v>
      </c>
      <c r="F8" s="191">
        <f>'利润表(年度)'!D6</f>
        <v>442269.62</v>
      </c>
      <c r="G8" s="191">
        <f>'利润表(年度)'!E6</f>
        <v>555418.66</v>
      </c>
      <c r="H8" s="191">
        <f>'利润表(年度)'!F6</f>
        <v>700116.7</v>
      </c>
      <c r="I8" s="191">
        <f>'利润表(年度)'!G6</f>
        <v>839901.26015175297</v>
      </c>
      <c r="J8" s="191">
        <f>'利润表(年度)'!H6</f>
        <v>954359.43213554402</v>
      </c>
      <c r="K8" s="191">
        <f>'利润表(年度)'!I6</f>
        <v>1115418.3935311553</v>
      </c>
      <c r="L8" s="191">
        <f>'利润表(年度)'!J6</f>
        <v>1335817.0308211001</v>
      </c>
      <c r="M8" s="191">
        <f>'利润表(年度)'!K6</f>
        <v>1656270.7351583226</v>
      </c>
      <c r="N8" s="110">
        <f>'利润表(年度)'!L6</f>
        <v>0</v>
      </c>
    </row>
    <row r="9" spans="2:14" ht="24.95" customHeight="1" x14ac:dyDescent="0.15">
      <c r="B9" s="110"/>
      <c r="C9" s="193" t="s">
        <v>522</v>
      </c>
      <c r="D9" s="194"/>
      <c r="E9" s="194">
        <f t="shared" ref="E9" si="0">E7/D7-1</f>
        <v>1.2099754811580699</v>
      </c>
      <c r="F9" s="194">
        <f t="shared" ref="F9" si="1">F7/E7-1</f>
        <v>1.1647391023865157</v>
      </c>
      <c r="G9" s="194">
        <f t="shared" ref="G9" si="2">G7/F7-1</f>
        <v>0.25583724244952677</v>
      </c>
      <c r="H9" s="194">
        <f t="shared" ref="H9" si="3">H7/G7-1</f>
        <v>0.26052066741869973</v>
      </c>
      <c r="I9" s="194">
        <f t="shared" ref="I9" si="4">I7/H7-1</f>
        <v>0.19965894279018492</v>
      </c>
      <c r="J9" s="194">
        <f t="shared" ref="J9" si="5">J7/I7-1</f>
        <v>0.13627574741715565</v>
      </c>
      <c r="K9" s="194">
        <f t="shared" ref="K9" si="6">K7/J7-1</f>
        <v>0.16876132405923205</v>
      </c>
      <c r="L9" s="194">
        <f t="shared" ref="L9" si="7">L7/K7-1</f>
        <v>0.19759279438831379</v>
      </c>
      <c r="M9" s="194">
        <f t="shared" ref="M9" si="8">M7/L7-1</f>
        <v>0.23989341125576602</v>
      </c>
      <c r="N9" s="110"/>
    </row>
    <row r="10" spans="2:14" ht="24.95" customHeight="1" x14ac:dyDescent="0.15">
      <c r="B10" s="110"/>
      <c r="C10" s="393"/>
      <c r="D10" s="394"/>
      <c r="E10" s="394"/>
      <c r="F10" s="394"/>
      <c r="G10" s="394"/>
      <c r="H10" s="394"/>
      <c r="I10" s="394"/>
      <c r="J10" s="394"/>
      <c r="K10" s="394"/>
      <c r="L10" s="394"/>
      <c r="M10" s="395"/>
      <c r="N10" s="110"/>
    </row>
    <row r="11" spans="2:14" ht="24.95" customHeight="1" x14ac:dyDescent="0.15">
      <c r="B11" s="110"/>
      <c r="C11" s="190" t="s">
        <v>523</v>
      </c>
      <c r="D11" s="191">
        <f>'利润表(年度)'!B11</f>
        <v>95375.94</v>
      </c>
      <c r="E11" s="191">
        <f>'利润表(年度)'!C11</f>
        <v>203605.55</v>
      </c>
      <c r="F11" s="191">
        <f>'利润表(年度)'!D11</f>
        <v>413459.87</v>
      </c>
      <c r="G11" s="191">
        <f>'利润表(年度)'!E11</f>
        <v>517870.96</v>
      </c>
      <c r="H11" s="191">
        <f>'利润表(年度)'!F11</f>
        <v>666257.04</v>
      </c>
      <c r="I11" s="191">
        <f>'利润表(年度)'!G11</f>
        <v>798816.58997014782</v>
      </c>
      <c r="J11" s="191">
        <f>'利润表(年度)'!H11</f>
        <v>905687.36808073393</v>
      </c>
      <c r="K11" s="191">
        <f>'利润表(年度)'!I11</f>
        <v>1056195.7417109832</v>
      </c>
      <c r="L11" s="191">
        <f>'利润表(年度)'!J11</f>
        <v>1263641.5801624481</v>
      </c>
      <c r="M11" s="191">
        <f>'利润表(年度)'!K11</f>
        <v>1566222.7443372856</v>
      </c>
      <c r="N11" s="110"/>
    </row>
    <row r="12" spans="2:14" ht="24.95" customHeight="1" x14ac:dyDescent="0.15">
      <c r="B12" s="110"/>
      <c r="C12" s="192" t="s">
        <v>524</v>
      </c>
      <c r="D12" s="191">
        <f>'利润表(年度)'!B12</f>
        <v>70120.95</v>
      </c>
      <c r="E12" s="191">
        <f>'利润表(年度)'!C12</f>
        <v>149343.49</v>
      </c>
      <c r="F12" s="191">
        <f>'利润表(年度)'!D12</f>
        <v>308725.38</v>
      </c>
      <c r="G12" s="191">
        <f>'利润表(年度)'!E12</f>
        <v>394791.89</v>
      </c>
      <c r="H12" s="191">
        <f>'利润表(年度)'!F12</f>
        <v>502340.65</v>
      </c>
      <c r="I12" s="191">
        <f>'利润表(年度)'!G12</f>
        <v>603611.68830701185</v>
      </c>
      <c r="J12" s="191">
        <f>'利润表(年度)'!H12</f>
        <v>684357.95226002939</v>
      </c>
      <c r="K12" s="191">
        <f>'利润表(年度)'!I12</f>
        <v>798072.18981988577</v>
      </c>
      <c r="L12" s="191">
        <f>'利润表(年度)'!J12</f>
        <v>955182.58287116245</v>
      </c>
      <c r="M12" s="191">
        <f>'利润表(年度)'!K12</f>
        <v>1184594.6013208397</v>
      </c>
      <c r="N12" s="110"/>
    </row>
    <row r="13" spans="2:14" ht="24.95" customHeight="1" x14ac:dyDescent="0.15">
      <c r="B13" s="110"/>
      <c r="C13" s="192" t="s">
        <v>525</v>
      </c>
      <c r="D13" s="191">
        <f>'利润表(年度)'!B32</f>
        <v>238.38</v>
      </c>
      <c r="E13" s="191">
        <f>'利润表(年度)'!C32</f>
        <v>576.11</v>
      </c>
      <c r="F13" s="191">
        <f>'利润表(年度)'!D32</f>
        <v>1488.74</v>
      </c>
      <c r="G13" s="191">
        <f>'利润表(年度)'!E32</f>
        <v>3100.83</v>
      </c>
      <c r="H13" s="191">
        <f>'利润表(年度)'!F32</f>
        <v>3215</v>
      </c>
      <c r="I13" s="191">
        <f>'利润表(年度)'!G32</f>
        <v>3181.4594748474292</v>
      </c>
      <c r="J13" s="191">
        <f>'利润表(年度)'!H32</f>
        <v>3615.0152426596542</v>
      </c>
      <c r="K13" s="191">
        <f>'利润表(年度)'!I32</f>
        <v>4225.0900015052039</v>
      </c>
      <c r="L13" s="191">
        <f>'利润表(年度)'!J32</f>
        <v>5059.9373414447418</v>
      </c>
      <c r="M13" s="191">
        <f>'利润表(年度)'!K32</f>
        <v>6273.7829710243532</v>
      </c>
      <c r="N13" s="110"/>
    </row>
    <row r="14" spans="2:14" ht="24.95" customHeight="1" x14ac:dyDescent="0.15">
      <c r="B14" s="110"/>
      <c r="C14" s="192" t="s">
        <v>526</v>
      </c>
      <c r="D14" s="191">
        <f>'利润表(年度)'!B33</f>
        <v>23435.71</v>
      </c>
      <c r="E14" s="191">
        <f>'利润表(年度)'!C33</f>
        <v>49745.64</v>
      </c>
      <c r="F14" s="191">
        <f>'利润表(年度)'!D33</f>
        <v>91777.33</v>
      </c>
      <c r="G14" s="191">
        <f>'利润表(年度)'!E33</f>
        <v>107537.51</v>
      </c>
      <c r="H14" s="191">
        <f>'利润表(年度)'!F33</f>
        <v>146071.28</v>
      </c>
      <c r="I14" s="191">
        <f>'利润表(年度)'!G33</f>
        <v>173135.96418642969</v>
      </c>
      <c r="J14" s="191">
        <f>'利润表(年度)'!H33</f>
        <v>194344.29853038644</v>
      </c>
      <c r="K14" s="191">
        <f>'利润表(年度)'!I33</f>
        <v>224353.55368990925</v>
      </c>
      <c r="L14" s="191">
        <f>'利润表(年度)'!J33</f>
        <v>265344.65671739425</v>
      </c>
      <c r="M14" s="191">
        <f>'利润表(年度)'!K33</f>
        <v>324858.41473792435</v>
      </c>
      <c r="N14" s="110"/>
    </row>
    <row r="15" spans="2:14" ht="24.95" customHeight="1" x14ac:dyDescent="0.15">
      <c r="B15" s="110"/>
      <c r="C15" s="192" t="s">
        <v>527</v>
      </c>
      <c r="D15" s="191">
        <f>'利润表(年度)'!B34</f>
        <v>1661.62</v>
      </c>
      <c r="E15" s="191">
        <f>'利润表(年度)'!C34</f>
        <v>3884.19</v>
      </c>
      <c r="F15" s="191">
        <f>'利润表(年度)'!D34</f>
        <v>9976.77</v>
      </c>
      <c r="G15" s="191">
        <f>'利润表(年度)'!E34</f>
        <v>10165.64</v>
      </c>
      <c r="H15" s="191">
        <f>'利润表(年度)'!F34</f>
        <v>11346.67</v>
      </c>
      <c r="I15" s="191">
        <f>'利润表(年度)'!G34</f>
        <v>14278.321422579802</v>
      </c>
      <c r="J15" s="191">
        <f>'利润表(年度)'!H34</f>
        <v>17178.469778439794</v>
      </c>
      <c r="K15" s="191">
        <f>'利润表(年度)'!I34</f>
        <v>21192.949477091955</v>
      </c>
      <c r="L15" s="191">
        <f>'利润表(年度)'!J34</f>
        <v>26716.340616422007</v>
      </c>
      <c r="M15" s="191">
        <f>'利润表(年度)'!K34</f>
        <v>34781.685438324785</v>
      </c>
      <c r="N15" s="110"/>
    </row>
    <row r="16" spans="2:14" ht="24.95" customHeight="1" x14ac:dyDescent="0.15">
      <c r="B16" s="110"/>
      <c r="C16" s="192" t="s">
        <v>528</v>
      </c>
      <c r="D16" s="191">
        <f>'利润表(年度)'!B35</f>
        <v>0</v>
      </c>
      <c r="E16" s="191">
        <f>'利润表(年度)'!C35</f>
        <v>0</v>
      </c>
      <c r="F16" s="191">
        <f>'利润表(年度)'!D35</f>
        <v>1184.3399999999999</v>
      </c>
      <c r="G16" s="191">
        <f>'利润表(年度)'!E35</f>
        <v>1676.67</v>
      </c>
      <c r="H16" s="191">
        <f>'利润表(年度)'!F35</f>
        <v>3411.8</v>
      </c>
      <c r="I16" s="191">
        <f>'利润表(年度)'!G35</f>
        <v>4932.8976411633057</v>
      </c>
      <c r="J16" s="191">
        <f>'利润表(年度)'!H35</f>
        <v>6559.4913862807034</v>
      </c>
      <c r="K16" s="191">
        <f>'利润表(年度)'!I35</f>
        <v>8781.8982313157176</v>
      </c>
      <c r="L16" s="191">
        <f>'利润表(年度)'!J35</f>
        <v>11852.955073696279</v>
      </c>
      <c r="M16" s="191">
        <f>'利润表(年度)'!K35</f>
        <v>16352.671634944945</v>
      </c>
      <c r="N16" s="110"/>
    </row>
    <row r="17" spans="2:16" ht="24.95" customHeight="1" x14ac:dyDescent="0.15">
      <c r="B17" s="110"/>
      <c r="C17" s="192" t="s">
        <v>529</v>
      </c>
      <c r="D17" s="191">
        <f>'利润表(年度)'!B36</f>
        <v>-105.71</v>
      </c>
      <c r="E17" s="191">
        <f>'利润表(年度)'!C36</f>
        <v>-20.88</v>
      </c>
      <c r="F17" s="191">
        <f>'利润表(年度)'!D36</f>
        <v>117.86</v>
      </c>
      <c r="G17" s="191">
        <f>'利润表(年度)'!E36</f>
        <v>-68.31</v>
      </c>
      <c r="H17" s="191">
        <f>'利润表(年度)'!F36</f>
        <v>-910.05</v>
      </c>
      <c r="I17" s="191">
        <f>'利润表(年度)'!G36</f>
        <v>-323.74106188422098</v>
      </c>
      <c r="J17" s="191">
        <f>'利润表(年度)'!H36</f>
        <v>-367.85911706211687</v>
      </c>
      <c r="K17" s="191">
        <f>'利润表(年度)'!I36</f>
        <v>-429.93950872477978</v>
      </c>
      <c r="L17" s="191">
        <f>'利润表(年度)'!J36</f>
        <v>-514.89245767164778</v>
      </c>
      <c r="M17" s="191">
        <f>'利润表(年度)'!K36</f>
        <v>-638.41176577236456</v>
      </c>
      <c r="N17" s="110"/>
    </row>
    <row r="18" spans="2:16" ht="24.95" customHeight="1" x14ac:dyDescent="0.15">
      <c r="B18" s="110"/>
      <c r="C18" s="192" t="s">
        <v>530</v>
      </c>
      <c r="D18" s="191">
        <f>'利润表(年度)'!B53</f>
        <v>24.99</v>
      </c>
      <c r="E18" s="191">
        <f>'利润表(年度)'!C53</f>
        <v>76.989999999999995</v>
      </c>
      <c r="F18" s="191">
        <f>'利润表(年度)'!D53</f>
        <v>189.45</v>
      </c>
      <c r="G18" s="191">
        <f>'利润表(年度)'!E53</f>
        <v>666.74</v>
      </c>
      <c r="H18" s="191">
        <f>'利润表(年度)'!F53</f>
        <v>781.68</v>
      </c>
      <c r="I18" s="191">
        <f>'利润表(年度)'!G53</f>
        <v>839.90126015175304</v>
      </c>
      <c r="J18" s="191">
        <f>'利润表(年度)'!H53</f>
        <v>954.35943213554401</v>
      </c>
      <c r="K18" s="191">
        <f>'利润表(年度)'!I53</f>
        <v>1115.4183935311553</v>
      </c>
      <c r="L18" s="191">
        <f>'利润表(年度)'!J53</f>
        <v>1335.8170308211002</v>
      </c>
      <c r="M18" s="191">
        <f>'利润表(年度)'!K53</f>
        <v>1656.2707351583226</v>
      </c>
      <c r="N18" s="110"/>
      <c r="P18" s="203"/>
    </row>
    <row r="19" spans="2:16" ht="24.95" customHeight="1" x14ac:dyDescent="0.15">
      <c r="B19" s="110"/>
      <c r="C19" s="192" t="s">
        <v>531</v>
      </c>
      <c r="D19" s="191">
        <f>'利润表(年度)'!B48</f>
        <v>148.46</v>
      </c>
      <c r="E19" s="191">
        <f>'利润表(年度)'!C48</f>
        <v>75.06</v>
      </c>
      <c r="F19" s="191">
        <f>'利润表(年度)'!D48</f>
        <v>187.39</v>
      </c>
      <c r="G19" s="191">
        <f>'利润表(年度)'!E48</f>
        <v>579.86</v>
      </c>
      <c r="H19" s="191">
        <f>'利润表(年度)'!F48</f>
        <v>568.94000000000005</v>
      </c>
      <c r="I19" s="191">
        <f>'利润表(年度)'!G48</f>
        <v>574.40000000000009</v>
      </c>
      <c r="J19" s="191">
        <f>'利润表(年度)'!H48</f>
        <v>608.86400000000015</v>
      </c>
      <c r="K19" s="191">
        <f>'利润表(年度)'!I48</f>
        <v>645.39584000000013</v>
      </c>
      <c r="L19" s="191">
        <f>'利润表(年度)'!J48</f>
        <v>684.11959040000022</v>
      </c>
      <c r="M19" s="191">
        <f>'利润表(年度)'!K48</f>
        <v>725.16676582400032</v>
      </c>
      <c r="N19" s="110"/>
    </row>
    <row r="20" spans="2:16" ht="24.95" customHeight="1" x14ac:dyDescent="0.15">
      <c r="B20" s="110"/>
      <c r="C20" s="192" t="s">
        <v>532</v>
      </c>
      <c r="D20" s="191">
        <f>'利润表(年度)'!B49</f>
        <v>0</v>
      </c>
      <c r="E20" s="191">
        <f>'利润表(年度)'!C49</f>
        <v>0</v>
      </c>
      <c r="F20" s="191">
        <f>'利润表(年度)'!D49</f>
        <v>0</v>
      </c>
      <c r="G20" s="191">
        <f>'利润表(年度)'!E49</f>
        <v>-10.14</v>
      </c>
      <c r="H20" s="191">
        <f>'利润表(年度)'!F49</f>
        <v>-1.27</v>
      </c>
      <c r="I20" s="191">
        <f>'利润表(年度)'!G49</f>
        <v>0</v>
      </c>
      <c r="J20" s="191">
        <f>'利润表(年度)'!H49</f>
        <v>0</v>
      </c>
      <c r="K20" s="191">
        <f>'利润表(年度)'!I49</f>
        <v>0</v>
      </c>
      <c r="L20" s="191">
        <f>'利润表(年度)'!J49</f>
        <v>0</v>
      </c>
      <c r="M20" s="191">
        <f>'利润表(年度)'!K49</f>
        <v>0</v>
      </c>
      <c r="N20" s="110"/>
    </row>
    <row r="21" spans="2:16" ht="24.95" customHeight="1" x14ac:dyDescent="0.15">
      <c r="B21" s="110"/>
      <c r="C21" s="192" t="s">
        <v>533</v>
      </c>
      <c r="D21" s="191">
        <f>'利润表(年度)'!B56</f>
        <v>0</v>
      </c>
      <c r="E21" s="191">
        <f>'利润表(年度)'!C56</f>
        <v>0</v>
      </c>
      <c r="F21" s="191">
        <f>'利润表(年度)'!D56</f>
        <v>0</v>
      </c>
      <c r="G21" s="191">
        <f>'利润表(年度)'!E56</f>
        <v>0</v>
      </c>
      <c r="H21" s="191">
        <f>'利润表(年度)'!F56</f>
        <v>0</v>
      </c>
      <c r="I21" s="191">
        <f>'利润表(年度)'!G56</f>
        <v>0</v>
      </c>
      <c r="J21" s="191">
        <f>'利润表(年度)'!H56</f>
        <v>0</v>
      </c>
      <c r="K21" s="191">
        <f>'利润表(年度)'!I56</f>
        <v>0</v>
      </c>
      <c r="L21" s="191">
        <f>'利润表(年度)'!J56</f>
        <v>0</v>
      </c>
      <c r="M21" s="191">
        <f>'利润表(年度)'!K56</f>
        <v>0</v>
      </c>
      <c r="N21" s="110"/>
    </row>
    <row r="22" spans="2:16" ht="24.95" customHeight="1" x14ac:dyDescent="0.15">
      <c r="B22" s="110"/>
      <c r="C22" s="192" t="s">
        <v>534</v>
      </c>
      <c r="D22" s="191">
        <f>'利润表(年度)'!B55</f>
        <v>0</v>
      </c>
      <c r="E22" s="191">
        <f>'利润表(年度)'!C55</f>
        <v>0</v>
      </c>
      <c r="F22" s="191">
        <f>'利润表(年度)'!D55</f>
        <v>0</v>
      </c>
      <c r="G22" s="191">
        <f>'利润表(年度)'!E55</f>
        <v>0</v>
      </c>
      <c r="H22" s="191">
        <f>'利润表(年度)'!F55</f>
        <v>38.26</v>
      </c>
      <c r="I22" s="191">
        <f>'利润表(年度)'!G55</f>
        <v>41.320799999999998</v>
      </c>
      <c r="J22" s="191">
        <f>'利润表(年度)'!H55</f>
        <v>44.626463999999999</v>
      </c>
      <c r="K22" s="191">
        <f>'利润表(年度)'!I55</f>
        <v>48.196581120000005</v>
      </c>
      <c r="L22" s="191">
        <f>'利润表(年度)'!J55</f>
        <v>52.052307609600007</v>
      </c>
      <c r="M22" s="191">
        <f>'利润表(年度)'!K55</f>
        <v>56.21649221836801</v>
      </c>
      <c r="N22" s="110"/>
    </row>
    <row r="23" spans="2:16" ht="24.95" customHeight="1" x14ac:dyDescent="0.15">
      <c r="B23" s="110"/>
      <c r="C23" s="192" t="s">
        <v>535</v>
      </c>
      <c r="D23" s="191">
        <f>'利润表(年度)'!B47</f>
        <v>1301.3599999999999</v>
      </c>
      <c r="E23" s="191">
        <f>'利润表(年度)'!C47</f>
        <v>685.66</v>
      </c>
      <c r="F23" s="191">
        <f>'利润表(年度)'!D47</f>
        <v>2613.14</v>
      </c>
      <c r="G23" s="191">
        <f>'利润表(年度)'!E47</f>
        <v>2598.6</v>
      </c>
      <c r="H23" s="191">
        <f>'利润表(年度)'!F47</f>
        <v>5317.7</v>
      </c>
      <c r="I23" s="191">
        <f>'利润表(年度)'!G47</f>
        <v>5849.47</v>
      </c>
      <c r="J23" s="191">
        <f>'利润表(年度)'!H47</f>
        <v>6434.4170000000004</v>
      </c>
      <c r="K23" s="191">
        <f>'利润表(年度)'!I47</f>
        <v>7077.8587000000007</v>
      </c>
      <c r="L23" s="191">
        <f>'利润表(年度)'!J47</f>
        <v>7785.6445700000013</v>
      </c>
      <c r="M23" s="191">
        <f>'利润表(年度)'!K47</f>
        <v>8564.2090270000026</v>
      </c>
      <c r="N23" s="110"/>
    </row>
    <row r="24" spans="2:16" ht="24.95" customHeight="1" x14ac:dyDescent="0.15">
      <c r="B24" s="110"/>
      <c r="C24" s="391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110"/>
    </row>
    <row r="25" spans="2:16" ht="24.95" customHeight="1" x14ac:dyDescent="0.15">
      <c r="B25" s="110"/>
      <c r="C25" s="190" t="s">
        <v>536</v>
      </c>
      <c r="D25" s="191">
        <f>'利润表(年度)'!B59</f>
        <v>-1478.85</v>
      </c>
      <c r="E25" s="191">
        <f>'利润表(年度)'!C59</f>
        <v>1461.38</v>
      </c>
      <c r="F25" s="191">
        <f>'利润表(年度)'!D59</f>
        <v>31610.28</v>
      </c>
      <c r="G25" s="191">
        <f>'利润表(年度)'!E59</f>
        <v>40726.17</v>
      </c>
      <c r="H25" s="191">
        <f>'利润表(年度)'!F59</f>
        <v>39784.559999999998</v>
      </c>
      <c r="I25" s="191">
        <f>'利润表(年度)'!G59</f>
        <v>48389.762241756907</v>
      </c>
      <c r="J25" s="191">
        <f>'利润表(年度)'!H59</f>
        <v>56714.330950945638</v>
      </c>
      <c r="K25" s="191">
        <f>'利润表(年度)'!I59</f>
        <v>68109.52133482325</v>
      </c>
      <c r="L25" s="191">
        <f>'利润表(年度)'!J59</f>
        <v>82033.084157482706</v>
      </c>
      <c r="M25" s="191">
        <f>'利润表(年度)'!K59</f>
        <v>101049.85384123768</v>
      </c>
      <c r="N25" s="110"/>
    </row>
    <row r="26" spans="2:16" ht="24.95" customHeight="1" x14ac:dyDescent="0.15">
      <c r="B26" s="110"/>
      <c r="C26" s="193" t="s">
        <v>522</v>
      </c>
      <c r="D26" s="194"/>
      <c r="E26" s="194">
        <f t="shared" ref="E26" si="9">E25/D25-1</f>
        <v>-1.98818676674443</v>
      </c>
      <c r="F26" s="194">
        <f t="shared" ref="F26" si="10">F25/E25-1</f>
        <v>20.630431509942653</v>
      </c>
      <c r="G26" s="194">
        <f t="shared" ref="G26" si="11">G25/F25-1</f>
        <v>0.28838371567730503</v>
      </c>
      <c r="H26" s="194">
        <f t="shared" ref="H26" si="12">H25/G25-1</f>
        <v>-2.3120514401427927E-2</v>
      </c>
      <c r="I26" s="194">
        <f t="shared" ref="I26" si="13">I25/H25-1</f>
        <v>0.21629502102717502</v>
      </c>
      <c r="J26" s="194">
        <f t="shared" ref="J26" si="14">J25/I25-1</f>
        <v>0.17203161006658596</v>
      </c>
      <c r="K26" s="194">
        <f t="shared" ref="K26" si="15">K25/J25-1</f>
        <v>0.20092259209993579</v>
      </c>
      <c r="L26" s="194">
        <f t="shared" ref="L26" si="16">L25/K25-1</f>
        <v>0.2044290218134388</v>
      </c>
      <c r="M26" s="194">
        <f t="shared" ref="M26" si="17">M25/L25-1</f>
        <v>0.2318182947656533</v>
      </c>
      <c r="N26" s="110"/>
    </row>
    <row r="27" spans="2:16" ht="24.95" customHeight="1" x14ac:dyDescent="0.15">
      <c r="B27" s="110"/>
      <c r="C27" s="192" t="s">
        <v>537</v>
      </c>
      <c r="D27" s="191">
        <f>'利润表(年度)'!B60</f>
        <v>82.46</v>
      </c>
      <c r="E27" s="191">
        <f>'利润表(年度)'!C60</f>
        <v>94.75</v>
      </c>
      <c r="F27" s="191">
        <f>'利润表(年度)'!D60</f>
        <v>380.37</v>
      </c>
      <c r="G27" s="191">
        <f>'利润表(年度)'!E60</f>
        <v>304.31</v>
      </c>
      <c r="H27" s="191">
        <f>'利润表(年度)'!F60</f>
        <v>534.61</v>
      </c>
      <c r="I27" s="191">
        <f>'利润表(年度)'!G60</f>
        <v>614.80149999999992</v>
      </c>
      <c r="J27" s="191">
        <f>'利润表(年度)'!H60</f>
        <v>707.02172499999983</v>
      </c>
      <c r="K27" s="191">
        <f>'利润表(年度)'!I60</f>
        <v>813.07498374999977</v>
      </c>
      <c r="L27" s="191">
        <f>'利润表(年度)'!J60</f>
        <v>935.03623131249969</v>
      </c>
      <c r="M27" s="191">
        <f>'利润表(年度)'!K60</f>
        <v>1075.2916660093745</v>
      </c>
      <c r="N27" s="110"/>
    </row>
    <row r="28" spans="2:16" ht="24.95" customHeight="1" x14ac:dyDescent="0.15">
      <c r="B28" s="110"/>
      <c r="C28" s="192" t="s">
        <v>538</v>
      </c>
      <c r="D28" s="191">
        <f>'利润表(年度)'!B61</f>
        <v>21.01</v>
      </c>
      <c r="E28" s="191">
        <f>'利润表(年度)'!C61</f>
        <v>9.34</v>
      </c>
      <c r="F28" s="191">
        <f>'利润表(年度)'!D61</f>
        <v>406.24</v>
      </c>
      <c r="G28" s="191">
        <f>'利润表(年度)'!E61</f>
        <v>397.64</v>
      </c>
      <c r="H28" s="191">
        <f>'利润表(年度)'!F61</f>
        <v>136.38999999999999</v>
      </c>
      <c r="I28" s="191">
        <f>'利润表(年度)'!G61</f>
        <v>156.84849999999997</v>
      </c>
      <c r="J28" s="191">
        <f>'利润表(年度)'!H61</f>
        <v>180.37577499999995</v>
      </c>
      <c r="K28" s="191">
        <f>'利润表(年度)'!I61</f>
        <v>207.43214124999992</v>
      </c>
      <c r="L28" s="191">
        <f>'利润表(年度)'!J61</f>
        <v>238.54696243749987</v>
      </c>
      <c r="M28" s="191">
        <f>'利润表(年度)'!K61</f>
        <v>274.32900680312486</v>
      </c>
      <c r="N28" s="110"/>
    </row>
    <row r="29" spans="2:16" ht="24.95" customHeight="1" x14ac:dyDescent="0.15">
      <c r="B29" s="110"/>
      <c r="C29" s="391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110"/>
    </row>
    <row r="30" spans="2:16" ht="24.95" customHeight="1" x14ac:dyDescent="0.15">
      <c r="B30" s="110"/>
      <c r="C30" s="190" t="s">
        <v>539</v>
      </c>
      <c r="D30" s="195">
        <f>'利润表(年度)'!B65</f>
        <v>-1417.4</v>
      </c>
      <c r="E30" s="195">
        <f>'利润表(年度)'!C65</f>
        <v>1546.79</v>
      </c>
      <c r="F30" s="195">
        <f>'利润表(年度)'!D65</f>
        <v>31584.42</v>
      </c>
      <c r="G30" s="195">
        <f>'利润表(年度)'!E65</f>
        <v>40632.839999999997</v>
      </c>
      <c r="H30" s="195">
        <f>'利润表(年度)'!F65</f>
        <v>40182.78</v>
      </c>
      <c r="I30" s="195">
        <f>'利润表(年度)'!G65</f>
        <v>48847.715241756909</v>
      </c>
      <c r="J30" s="195">
        <f>'利润表(年度)'!H65</f>
        <v>57240.976900945636</v>
      </c>
      <c r="K30" s="195">
        <f>'利润表(年度)'!I65</f>
        <v>68715.164177323255</v>
      </c>
      <c r="L30" s="195">
        <f>'利润表(年度)'!J65</f>
        <v>82729.573426357703</v>
      </c>
      <c r="M30" s="195">
        <f>'利润表(年度)'!K65</f>
        <v>101850.81650044394</v>
      </c>
      <c r="N30" s="110"/>
    </row>
    <row r="31" spans="2:16" ht="24.95" customHeight="1" x14ac:dyDescent="0.15">
      <c r="B31" s="110"/>
      <c r="C31" s="196" t="s">
        <v>522</v>
      </c>
      <c r="D31" s="197"/>
      <c r="E31" s="197">
        <f t="shared" ref="E31" si="18">E30/D30-1</f>
        <v>-2.0912868632707773</v>
      </c>
      <c r="F31" s="197">
        <f t="shared" ref="F31" si="19">F30/E30-1</f>
        <v>19.41933294112323</v>
      </c>
      <c r="G31" s="197">
        <f t="shared" ref="G31" si="20">G30/F30-1</f>
        <v>0.28648365238304208</v>
      </c>
      <c r="H31" s="197">
        <f t="shared" ref="H31" si="21">H30/G30-1</f>
        <v>-1.1076262451750751E-2</v>
      </c>
      <c r="I31" s="197">
        <f t="shared" ref="I31" si="22">I30/H30-1</f>
        <v>0.21563802309737934</v>
      </c>
      <c r="J31" s="197">
        <f t="shared" ref="J31" si="23">J30/I30-1</f>
        <v>0.17182506116506846</v>
      </c>
      <c r="K31" s="197">
        <f t="shared" ref="K31" si="24">K30/J30-1</f>
        <v>0.20045407848705077</v>
      </c>
      <c r="L31" s="197">
        <f t="shared" ref="L31" si="25">L30/K30-1</f>
        <v>0.20394929440711951</v>
      </c>
      <c r="M31" s="197">
        <f t="shared" ref="M31" si="26">M30/L30-1</f>
        <v>0.23112947743054835</v>
      </c>
      <c r="N31" s="110"/>
    </row>
    <row r="32" spans="2:16" ht="24.95" customHeight="1" x14ac:dyDescent="0.15">
      <c r="B32" s="110"/>
      <c r="C32" s="136" t="s">
        <v>540</v>
      </c>
      <c r="D32" s="195">
        <f>'利润表(年度)'!B66</f>
        <v>-130.91</v>
      </c>
      <c r="E32" s="195">
        <f>'利润表(年度)'!C66</f>
        <v>649.4</v>
      </c>
      <c r="F32" s="195">
        <f>'利润表(年度)'!D66</f>
        <v>7934.39</v>
      </c>
      <c r="G32" s="195">
        <f>'利润表(年度)'!E66</f>
        <v>10431.120000000001</v>
      </c>
      <c r="H32" s="195">
        <f>'利润表(年度)'!F66</f>
        <v>9796.7999999999993</v>
      </c>
      <c r="I32" s="195">
        <f>'利润表(年度)'!G66</f>
        <v>12240.171997851638</v>
      </c>
      <c r="J32" s="195">
        <f>'利润表(年度)'!H66</f>
        <v>14343.340300053453</v>
      </c>
      <c r="K32" s="195">
        <f>'利润表(年度)'!I66</f>
        <v>17218.521362326846</v>
      </c>
      <c r="L32" s="195">
        <f>'利润表(年度)'!J66</f>
        <v>20730.226644907321</v>
      </c>
      <c r="M32" s="195">
        <f>'利润表(年度)'!K66</f>
        <v>25521.593096361579</v>
      </c>
      <c r="N32" s="110"/>
    </row>
    <row r="33" spans="2:14" ht="24.95" customHeight="1" x14ac:dyDescent="0.15">
      <c r="B33" s="110"/>
      <c r="C33" s="391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110"/>
    </row>
    <row r="34" spans="2:14" ht="24.95" customHeight="1" x14ac:dyDescent="0.15">
      <c r="B34" s="110"/>
      <c r="C34" s="190" t="s">
        <v>541</v>
      </c>
      <c r="D34" s="195">
        <f>'利润表(年度)'!B70</f>
        <v>-1286.49</v>
      </c>
      <c r="E34" s="195">
        <f>'利润表(年度)'!C70</f>
        <v>897.39</v>
      </c>
      <c r="F34" s="195">
        <f>'利润表(年度)'!D70</f>
        <v>23650.03</v>
      </c>
      <c r="G34" s="195">
        <f>'利润表(年度)'!E70</f>
        <v>30201.72</v>
      </c>
      <c r="H34" s="195">
        <f>'利润表(年度)'!F70</f>
        <v>30385.98</v>
      </c>
      <c r="I34" s="195">
        <f>'利润表(年度)'!G70</f>
        <v>36607.543243905267</v>
      </c>
      <c r="J34" s="195">
        <f>'利润表(年度)'!H70</f>
        <v>42897.636600892183</v>
      </c>
      <c r="K34" s="195">
        <f>'利润表(年度)'!I70</f>
        <v>51496.642814996405</v>
      </c>
      <c r="L34" s="195">
        <f>'利润表(年度)'!J70</f>
        <v>61999.346781450382</v>
      </c>
      <c r="M34" s="195">
        <f>'利润表(年度)'!K70</f>
        <v>76329.223404082353</v>
      </c>
      <c r="N34" s="110"/>
    </row>
    <row r="35" spans="2:14" ht="24.95" customHeight="1" x14ac:dyDescent="0.15">
      <c r="B35" s="110"/>
      <c r="C35" s="193" t="s">
        <v>522</v>
      </c>
      <c r="D35" s="197"/>
      <c r="E35" s="197">
        <f t="shared" ref="E35" si="27">E34/D34-1</f>
        <v>-1.6975491453489728</v>
      </c>
      <c r="F35" s="197">
        <f t="shared" ref="F35" si="28">F34/E34-1</f>
        <v>25.354238402478298</v>
      </c>
      <c r="G35" s="197">
        <f t="shared" ref="G35" si="29">G34/F34-1</f>
        <v>0.27702670990269374</v>
      </c>
      <c r="H35" s="197">
        <f t="shared" ref="H35" si="30">H34/G34-1</f>
        <v>6.1009770304472077E-3</v>
      </c>
      <c r="I35" s="197">
        <f t="shared" ref="I35" si="31">I34/H34-1</f>
        <v>0.20475111363547494</v>
      </c>
      <c r="J35" s="197">
        <f t="shared" ref="J35" si="32">J34/I34-1</f>
        <v>0.17182506116506868</v>
      </c>
      <c r="K35" s="197">
        <f t="shared" ref="K35" si="33">K34/J34-1</f>
        <v>0.20045407848705077</v>
      </c>
      <c r="L35" s="197">
        <f t="shared" ref="L35" si="34">L34/K34-1</f>
        <v>0.20394929440711951</v>
      </c>
      <c r="M35" s="197">
        <f t="shared" ref="M35" si="35">M34/L34-1</f>
        <v>0.23112947743054835</v>
      </c>
      <c r="N35" s="110"/>
    </row>
    <row r="36" spans="2:14" ht="24.95" customHeight="1" x14ac:dyDescent="0.15">
      <c r="B36" s="110"/>
      <c r="C36" s="136" t="s">
        <v>542</v>
      </c>
      <c r="D36" s="195">
        <f>'利润表(年度)'!B71</f>
        <v>0</v>
      </c>
      <c r="E36" s="195">
        <f>'利润表(年度)'!C71</f>
        <v>0</v>
      </c>
      <c r="F36" s="195">
        <f>'利润表(年度)'!D71</f>
        <v>23650.03</v>
      </c>
      <c r="G36" s="195">
        <f>'利润表(年度)'!E71</f>
        <v>30203.97</v>
      </c>
      <c r="H36" s="195">
        <f>'利润表(年度)'!F71</f>
        <v>30385.98</v>
      </c>
      <c r="I36" s="195">
        <f>'利润表(年度)'!G71</f>
        <v>36607.543243905267</v>
      </c>
      <c r="J36" s="195">
        <f>'利润表(年度)'!H71</f>
        <v>42897.636600892183</v>
      </c>
      <c r="K36" s="195">
        <f>'利润表(年度)'!I71</f>
        <v>51496.642814996405</v>
      </c>
      <c r="L36" s="195">
        <f>'利润表(年度)'!J71</f>
        <v>61999.346781450382</v>
      </c>
      <c r="M36" s="195">
        <f>'利润表(年度)'!K71</f>
        <v>76329.223404082353</v>
      </c>
      <c r="N36" s="110"/>
    </row>
    <row r="37" spans="2:14" ht="24.95" customHeight="1" x14ac:dyDescent="0.15">
      <c r="B37" s="110"/>
      <c r="C37" s="136" t="s">
        <v>543</v>
      </c>
      <c r="D37" s="195">
        <f>'利润表(年度)'!B72</f>
        <v>0</v>
      </c>
      <c r="E37" s="195">
        <f>'利润表(年度)'!C72</f>
        <v>0</v>
      </c>
      <c r="F37" s="195">
        <f>'利润表(年度)'!D72</f>
        <v>0</v>
      </c>
      <c r="G37" s="195">
        <f>'利润表(年度)'!E72</f>
        <v>-2.25</v>
      </c>
      <c r="H37" s="195">
        <f>'利润表(年度)'!F72</f>
        <v>0</v>
      </c>
      <c r="I37" s="195">
        <f>'利润表(年度)'!G72</f>
        <v>0</v>
      </c>
      <c r="J37" s="195">
        <f>'利润表(年度)'!H72</f>
        <v>0</v>
      </c>
      <c r="K37" s="195">
        <f>'利润表(年度)'!I72</f>
        <v>0</v>
      </c>
      <c r="L37" s="195">
        <f>'利润表(年度)'!J72</f>
        <v>0</v>
      </c>
      <c r="M37" s="195">
        <f>'利润表(年度)'!K72</f>
        <v>0</v>
      </c>
      <c r="N37" s="110"/>
    </row>
    <row r="38" spans="2:14" ht="24.95" customHeight="1" x14ac:dyDescent="0.15">
      <c r="B38" s="110"/>
      <c r="C38" s="136" t="s">
        <v>544</v>
      </c>
      <c r="D38" s="195">
        <f>'利润表(年度)'!B73</f>
        <v>0</v>
      </c>
      <c r="E38" s="195">
        <f>'利润表(年度)'!C73</f>
        <v>0</v>
      </c>
      <c r="F38" s="195">
        <f>'利润表(年度)'!D73</f>
        <v>0</v>
      </c>
      <c r="G38" s="195">
        <f>'利润表(年度)'!E73</f>
        <v>0</v>
      </c>
      <c r="H38" s="195">
        <f>'利润表(年度)'!F73</f>
        <v>0</v>
      </c>
      <c r="I38" s="195">
        <f>'利润表(年度)'!G73</f>
        <v>0</v>
      </c>
      <c r="J38" s="195">
        <f>'利润表(年度)'!H73</f>
        <v>0</v>
      </c>
      <c r="K38" s="195">
        <f>'利润表(年度)'!I73</f>
        <v>0</v>
      </c>
      <c r="L38" s="195">
        <f>'利润表(年度)'!J73</f>
        <v>0</v>
      </c>
      <c r="M38" s="195">
        <f>'利润表(年度)'!K73</f>
        <v>0</v>
      </c>
      <c r="N38" s="110"/>
    </row>
    <row r="39" spans="2:14" ht="24.95" customHeight="1" x14ac:dyDescent="0.15">
      <c r="B39" s="110"/>
      <c r="C39" s="190" t="s">
        <v>545</v>
      </c>
      <c r="D39" s="191">
        <f>'利润表(年度)'!B74</f>
        <v>-1286.49</v>
      </c>
      <c r="E39" s="191">
        <f>'利润表(年度)'!C74</f>
        <v>897.39</v>
      </c>
      <c r="F39" s="191">
        <f>'利润表(年度)'!D74</f>
        <v>23650.03</v>
      </c>
      <c r="G39" s="191">
        <f>'利润表(年度)'!E74</f>
        <v>30201.72</v>
      </c>
      <c r="H39" s="191">
        <f>'利润表(年度)'!F74</f>
        <v>30385.98</v>
      </c>
      <c r="I39" s="191">
        <f>'利润表(年度)'!G74</f>
        <v>36607.543243905267</v>
      </c>
      <c r="J39" s="191">
        <f>'利润表(年度)'!H74</f>
        <v>42897.636600892183</v>
      </c>
      <c r="K39" s="191">
        <f>'利润表(年度)'!I74</f>
        <v>51496.642814996405</v>
      </c>
      <c r="L39" s="191">
        <f>'利润表(年度)'!J74</f>
        <v>61999.346781450382</v>
      </c>
      <c r="M39" s="191">
        <f>'利润表(年度)'!K74</f>
        <v>76329.223404082353</v>
      </c>
      <c r="N39" s="110"/>
    </row>
    <row r="40" spans="2:14" ht="24.6" customHeight="1" x14ac:dyDescent="0.15">
      <c r="B40" s="110"/>
      <c r="C40" s="136" t="s">
        <v>546</v>
      </c>
      <c r="D40" s="198">
        <v>0</v>
      </c>
      <c r="E40" s="198">
        <v>0</v>
      </c>
      <c r="F40" s="195">
        <v>0</v>
      </c>
      <c r="G40" s="195">
        <v>0</v>
      </c>
      <c r="H40" s="195">
        <v>0</v>
      </c>
      <c r="I40" s="195">
        <f>资产负债假设!J37</f>
        <v>0</v>
      </c>
      <c r="J40" s="195">
        <f>资产负债假设!K37</f>
        <v>0</v>
      </c>
      <c r="K40" s="195">
        <f>资产负债假设!L37</f>
        <v>0</v>
      </c>
      <c r="L40" s="195">
        <f>资产负债假设!M37</f>
        <v>18599.804034435114</v>
      </c>
      <c r="M40" s="195">
        <f>资产负债假设!N37</f>
        <v>22898.767021224707</v>
      </c>
      <c r="N40" s="110"/>
    </row>
    <row r="41" spans="2:14" ht="24.95" customHeight="1" x14ac:dyDescent="0.15">
      <c r="B41" s="110"/>
      <c r="C41" s="136" t="s">
        <v>471</v>
      </c>
      <c r="D41" s="197">
        <f>D40/D39</f>
        <v>0</v>
      </c>
      <c r="E41" s="197">
        <f t="shared" ref="E41:G41" si="36">E40/E39</f>
        <v>0</v>
      </c>
      <c r="F41" s="197">
        <f t="shared" si="36"/>
        <v>0</v>
      </c>
      <c r="G41" s="197">
        <f t="shared" si="36"/>
        <v>0</v>
      </c>
      <c r="H41" s="197">
        <f t="shared" ref="H41" si="37">H40/H39</f>
        <v>0</v>
      </c>
      <c r="I41" s="197">
        <f>资产负债假设!J38</f>
        <v>0</v>
      </c>
      <c r="J41" s="197">
        <f>资产负债假设!K38</f>
        <v>0</v>
      </c>
      <c r="K41" s="197">
        <f>资产负债假设!L38</f>
        <v>0</v>
      </c>
      <c r="L41" s="197">
        <f>资产负债假设!M38</f>
        <v>0.3</v>
      </c>
      <c r="M41" s="197">
        <f>资产负债假设!N38</f>
        <v>0.3</v>
      </c>
      <c r="N41" s="110"/>
    </row>
    <row r="42" spans="2:14" ht="24.95" customHeight="1" x14ac:dyDescent="0.15">
      <c r="B42" s="110"/>
      <c r="C42" s="136" t="s">
        <v>547</v>
      </c>
      <c r="D42" s="195">
        <f t="shared" ref="D42:G42" si="38">D39-D40</f>
        <v>-1286.49</v>
      </c>
      <c r="E42" s="195">
        <f t="shared" si="38"/>
        <v>897.39</v>
      </c>
      <c r="F42" s="195">
        <f t="shared" si="38"/>
        <v>23650.03</v>
      </c>
      <c r="G42" s="195">
        <f t="shared" si="38"/>
        <v>30201.72</v>
      </c>
      <c r="H42" s="195">
        <f t="shared" ref="H42:M42" si="39">H39-H40</f>
        <v>30385.98</v>
      </c>
      <c r="I42" s="195">
        <f t="shared" si="39"/>
        <v>36607.543243905267</v>
      </c>
      <c r="J42" s="195">
        <f t="shared" si="39"/>
        <v>42897.636600892183</v>
      </c>
      <c r="K42" s="195">
        <f t="shared" si="39"/>
        <v>51496.642814996405</v>
      </c>
      <c r="L42" s="195">
        <f t="shared" si="39"/>
        <v>43399.542747015264</v>
      </c>
      <c r="M42" s="195">
        <f t="shared" si="39"/>
        <v>53430.45638285765</v>
      </c>
      <c r="N42" s="110"/>
    </row>
    <row r="43" spans="2:14" ht="24.95" customHeight="1" x14ac:dyDescent="0.15">
      <c r="B43" s="110"/>
      <c r="C43" s="391"/>
      <c r="D43" s="392"/>
      <c r="E43" s="392"/>
      <c r="F43" s="392"/>
      <c r="G43" s="392"/>
      <c r="H43" s="392"/>
      <c r="I43" s="392"/>
      <c r="J43" s="392"/>
      <c r="K43" s="392"/>
      <c r="L43" s="392"/>
      <c r="M43" s="392"/>
      <c r="N43" s="110"/>
    </row>
    <row r="44" spans="2:14" ht="24.95" customHeight="1" x14ac:dyDescent="0.15">
      <c r="B44" s="110"/>
      <c r="C44" s="190" t="s">
        <v>548</v>
      </c>
      <c r="D44" s="195">
        <f>'利润表(年度)'!B75</f>
        <v>0</v>
      </c>
      <c r="E44" s="195">
        <f>'利润表(年度)'!C75</f>
        <v>0</v>
      </c>
      <c r="F44" s="195">
        <f>F48-F34</f>
        <v>0</v>
      </c>
      <c r="G44" s="195">
        <f t="shared" ref="G44:M44" si="40">G48-G34</f>
        <v>0</v>
      </c>
      <c r="H44" s="195">
        <f t="shared" si="40"/>
        <v>0</v>
      </c>
      <c r="I44" s="195">
        <f t="shared" si="40"/>
        <v>0</v>
      </c>
      <c r="J44" s="195">
        <f t="shared" si="40"/>
        <v>0</v>
      </c>
      <c r="K44" s="195">
        <f t="shared" si="40"/>
        <v>0</v>
      </c>
      <c r="L44" s="195">
        <f t="shared" si="40"/>
        <v>0</v>
      </c>
      <c r="M44" s="195">
        <f t="shared" si="40"/>
        <v>0</v>
      </c>
      <c r="N44" s="110"/>
    </row>
    <row r="45" spans="2:14" ht="24.95" customHeight="1" x14ac:dyDescent="0.15">
      <c r="B45" s="110"/>
      <c r="C45" s="136" t="s">
        <v>549</v>
      </c>
      <c r="D45" s="191">
        <v>0</v>
      </c>
      <c r="E45" s="191">
        <v>0</v>
      </c>
      <c r="F45" s="191">
        <f>F49-F39</f>
        <v>0</v>
      </c>
      <c r="G45" s="191">
        <f t="shared" ref="G45:M45" si="41">G49-G39</f>
        <v>0</v>
      </c>
      <c r="H45" s="191">
        <f t="shared" si="41"/>
        <v>0</v>
      </c>
      <c r="I45" s="191">
        <f t="shared" si="41"/>
        <v>0</v>
      </c>
      <c r="J45" s="191">
        <f t="shared" si="41"/>
        <v>0</v>
      </c>
      <c r="K45" s="191">
        <f t="shared" si="41"/>
        <v>0</v>
      </c>
      <c r="L45" s="191">
        <f t="shared" si="41"/>
        <v>0</v>
      </c>
      <c r="M45" s="191">
        <f t="shared" si="41"/>
        <v>0</v>
      </c>
      <c r="N45" s="110"/>
    </row>
    <row r="46" spans="2:14" ht="24.95" customHeight="1" x14ac:dyDescent="0.15">
      <c r="B46" s="110"/>
      <c r="C46" s="199" t="s">
        <v>550</v>
      </c>
      <c r="D46" s="191">
        <v>0</v>
      </c>
      <c r="E46" s="191">
        <v>0</v>
      </c>
      <c r="F46" s="191">
        <f>F50-F38</f>
        <v>0</v>
      </c>
      <c r="G46" s="191">
        <f t="shared" ref="G46:M46" si="42">G50-G38</f>
        <v>0</v>
      </c>
      <c r="H46" s="191">
        <f t="shared" si="42"/>
        <v>0</v>
      </c>
      <c r="I46" s="191">
        <f t="shared" si="42"/>
        <v>0</v>
      </c>
      <c r="J46" s="191">
        <f t="shared" si="42"/>
        <v>0</v>
      </c>
      <c r="K46" s="191">
        <f t="shared" si="42"/>
        <v>0</v>
      </c>
      <c r="L46" s="191">
        <f t="shared" si="42"/>
        <v>0</v>
      </c>
      <c r="M46" s="191">
        <f t="shared" si="42"/>
        <v>0</v>
      </c>
      <c r="N46" s="110"/>
    </row>
    <row r="47" spans="2:14" ht="24.95" customHeight="1" x14ac:dyDescent="0.15">
      <c r="B47" s="110"/>
      <c r="C47" s="391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110"/>
    </row>
    <row r="48" spans="2:14" ht="24.95" customHeight="1" x14ac:dyDescent="0.15">
      <c r="B48" s="110"/>
      <c r="C48" s="190" t="s">
        <v>551</v>
      </c>
      <c r="D48" s="195">
        <f>'利润表(年度)'!B76</f>
        <v>-1286.49</v>
      </c>
      <c r="E48" s="195">
        <f>'利润表(年度)'!C76</f>
        <v>897.39</v>
      </c>
      <c r="F48" s="195">
        <f>'利润表(年度)'!D76</f>
        <v>23650.03</v>
      </c>
      <c r="G48" s="195">
        <f>'利润表(年度)'!E76</f>
        <v>30201.72</v>
      </c>
      <c r="H48" s="195">
        <f>'利润表(年度)'!F76</f>
        <v>30385.98</v>
      </c>
      <c r="I48" s="195">
        <f>'利润表(年度)'!G76</f>
        <v>36607.543243905267</v>
      </c>
      <c r="J48" s="195">
        <f>'利润表(年度)'!H76</f>
        <v>42897.636600892183</v>
      </c>
      <c r="K48" s="195">
        <f>'利润表(年度)'!I76</f>
        <v>51496.642814996405</v>
      </c>
      <c r="L48" s="195">
        <f>'利润表(年度)'!J76</f>
        <v>61999.346781450382</v>
      </c>
      <c r="M48" s="195">
        <f>'利润表(年度)'!K76</f>
        <v>76329.223404082353</v>
      </c>
      <c r="N48" s="110"/>
    </row>
    <row r="49" spans="2:14" ht="24.95" customHeight="1" x14ac:dyDescent="0.15">
      <c r="B49" s="110"/>
      <c r="C49" s="136" t="s">
        <v>552</v>
      </c>
      <c r="D49" s="191">
        <f>'利润表(年度)'!B78</f>
        <v>-1286.49</v>
      </c>
      <c r="E49" s="191">
        <f>'利润表(年度)'!C78</f>
        <v>897.39</v>
      </c>
      <c r="F49" s="191">
        <f>'利润表(年度)'!D78</f>
        <v>23650.03</v>
      </c>
      <c r="G49" s="191">
        <f>'利润表(年度)'!E78</f>
        <v>30201.72</v>
      </c>
      <c r="H49" s="191">
        <f>'利润表(年度)'!F78</f>
        <v>30385.98</v>
      </c>
      <c r="I49" s="191">
        <f>'利润表(年度)'!G78</f>
        <v>36607.543243905267</v>
      </c>
      <c r="J49" s="191">
        <f>'利润表(年度)'!H78</f>
        <v>42897.636600892183</v>
      </c>
      <c r="K49" s="191">
        <f>'利润表(年度)'!I78</f>
        <v>51496.642814996405</v>
      </c>
      <c r="L49" s="191">
        <f>'利润表(年度)'!J78</f>
        <v>61999.346781450382</v>
      </c>
      <c r="M49" s="191">
        <f>'利润表(年度)'!K78</f>
        <v>76329.223404082353</v>
      </c>
      <c r="N49" s="110"/>
    </row>
    <row r="50" spans="2:14" ht="24.95" customHeight="1" x14ac:dyDescent="0.15">
      <c r="B50" s="110"/>
      <c r="C50" s="199" t="s">
        <v>553</v>
      </c>
      <c r="D50" s="191">
        <f>'利润表(年度)'!B77</f>
        <v>0</v>
      </c>
      <c r="E50" s="191">
        <f>'利润表(年度)'!C77</f>
        <v>0</v>
      </c>
      <c r="F50" s="191">
        <f>'利润表(年度)'!D77</f>
        <v>0</v>
      </c>
      <c r="G50" s="191">
        <f>'利润表(年度)'!E77</f>
        <v>0</v>
      </c>
      <c r="H50" s="191">
        <f>'利润表(年度)'!F77</f>
        <v>0</v>
      </c>
      <c r="I50" s="191">
        <f>'利润表(年度)'!G77</f>
        <v>0</v>
      </c>
      <c r="J50" s="191">
        <f>'利润表(年度)'!H77</f>
        <v>0</v>
      </c>
      <c r="K50" s="191">
        <f>'利润表(年度)'!I77</f>
        <v>0</v>
      </c>
      <c r="L50" s="191">
        <f>'利润表(年度)'!J77</f>
        <v>0</v>
      </c>
      <c r="M50" s="191">
        <f>'利润表(年度)'!K77</f>
        <v>0</v>
      </c>
      <c r="N50" s="110"/>
    </row>
    <row r="51" spans="2:14" ht="24.95" customHeight="1" x14ac:dyDescent="0.15">
      <c r="B51" s="110"/>
      <c r="C51" s="391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110"/>
    </row>
    <row r="52" spans="2:14" ht="24.95" customHeight="1" x14ac:dyDescent="0.15">
      <c r="B52" s="110"/>
      <c r="C52" s="190" t="s">
        <v>554</v>
      </c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10"/>
    </row>
    <row r="53" spans="2:14" ht="24.95" customHeight="1" x14ac:dyDescent="0.15">
      <c r="B53" s="110"/>
      <c r="C53" s="199" t="s">
        <v>555</v>
      </c>
      <c r="D53" s="200">
        <f>'利润表(年度)'!B81</f>
        <v>0</v>
      </c>
      <c r="E53" s="200">
        <f>'利润表(年度)'!C81</f>
        <v>0.03</v>
      </c>
      <c r="F53" s="200">
        <f>'利润表(年度)'!D81</f>
        <v>0.67010000000000003</v>
      </c>
      <c r="G53" s="200">
        <f>'利润表(年度)'!E81</f>
        <v>0.83889999999999998</v>
      </c>
      <c r="H53" s="200">
        <f>'利润表(年度)'!F81</f>
        <v>0.84409999999999996</v>
      </c>
      <c r="I53" s="200">
        <f>'利润表(年度)'!G81</f>
        <v>0.91290631530935828</v>
      </c>
      <c r="J53" s="200">
        <f>'利润表(年度)'!H81</f>
        <v>1.0697664987753661</v>
      </c>
      <c r="K53" s="200">
        <f>'利润表(年度)'!I81</f>
        <v>1.2842055564837009</v>
      </c>
      <c r="L53" s="200">
        <f>'利润表(年度)'!J81</f>
        <v>1.5461183736022539</v>
      </c>
      <c r="M53" s="200">
        <f>'利润表(年度)'!K81</f>
        <v>1.9034719053387121</v>
      </c>
      <c r="N53" s="110"/>
    </row>
    <row r="54" spans="2:14" ht="24.95" hidden="1" customHeight="1" x14ac:dyDescent="0.15">
      <c r="B54" s="110"/>
      <c r="C54" s="199" t="s">
        <v>556</v>
      </c>
      <c r="D54" s="191"/>
      <c r="E54" s="191"/>
      <c r="F54" s="191"/>
      <c r="G54" s="191"/>
      <c r="H54" s="191"/>
      <c r="I54" s="200" t="e">
        <f>I40/资产负债假设!J34</f>
        <v>#DIV/0!</v>
      </c>
      <c r="J54" s="191" t="e">
        <f>#NULL!</f>
        <v>#NULL!</v>
      </c>
      <c r="K54" s="191" t="e">
        <f>#NULL!</f>
        <v>#NULL!</v>
      </c>
      <c r="L54" s="191" t="e">
        <f>#NULL!</f>
        <v>#NULL!</v>
      </c>
      <c r="M54" s="191" t="e">
        <f>#NULL!</f>
        <v>#NULL!</v>
      </c>
      <c r="N54" s="110"/>
    </row>
    <row r="55" spans="2:14" ht="24.95" customHeight="1" x14ac:dyDescent="0.15">
      <c r="B55" s="110"/>
      <c r="C55" s="378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110"/>
    </row>
    <row r="56" spans="2:14" s="184" customFormat="1" ht="24.95" customHeight="1" x14ac:dyDescent="0.15">
      <c r="B56" s="75"/>
      <c r="C56" s="136" t="s">
        <v>557</v>
      </c>
      <c r="D56" s="197">
        <f>D34/D7</f>
        <v>-1.3915932833927924E-2</v>
      </c>
      <c r="E56" s="197">
        <f t="shared" ref="E56:M56" si="43">E34/E7</f>
        <v>4.3923777154095175E-3</v>
      </c>
      <c r="F56" s="197">
        <f t="shared" si="43"/>
        <v>5.3474235919708887E-2</v>
      </c>
      <c r="G56" s="197">
        <f t="shared" si="43"/>
        <v>5.4376495020891084E-2</v>
      </c>
      <c r="H56" s="197">
        <f t="shared" si="43"/>
        <v>4.3401307239207411E-2</v>
      </c>
      <c r="I56" s="197">
        <f t="shared" si="43"/>
        <v>4.3585531991333165E-2</v>
      </c>
      <c r="J56" s="197">
        <f t="shared" si="43"/>
        <v>4.4949140917380899E-2</v>
      </c>
      <c r="K56" s="197">
        <f t="shared" si="43"/>
        <v>4.6168005757884274E-2</v>
      </c>
      <c r="L56" s="197">
        <f t="shared" si="43"/>
        <v>4.641305309855244E-2</v>
      </c>
      <c r="M56" s="197">
        <f t="shared" si="43"/>
        <v>4.6084991894025137E-2</v>
      </c>
      <c r="N56" s="75"/>
    </row>
    <row r="57" spans="2:14" s="184" customFormat="1" ht="24.95" customHeight="1" x14ac:dyDescent="0.15">
      <c r="B57" s="75"/>
      <c r="C57" s="78" t="s">
        <v>558</v>
      </c>
      <c r="D57" s="80">
        <f>D39/BS!D57</f>
        <v>-0.10001578185894751</v>
      </c>
      <c r="E57" s="80">
        <f>E39/BS!E57</f>
        <v>2.955805699887188E-2</v>
      </c>
      <c r="F57" s="80">
        <f>F39/BS!F57</f>
        <v>0.39032719279844763</v>
      </c>
      <c r="G57" s="80">
        <f>G39/BS!G57</f>
        <v>0.37382104547088374</v>
      </c>
      <c r="H57" s="80">
        <f>H39/BS!H57</f>
        <v>0.27330953363932942</v>
      </c>
      <c r="I57" s="80">
        <f>I39/BS!I57</f>
        <v>0.17602027774754392</v>
      </c>
      <c r="J57" s="80">
        <f>J39/BS!J57</f>
        <v>0.17099474609600679</v>
      </c>
      <c r="K57" s="80">
        <f>K39/BS!K57</f>
        <v>0.17031130956043664</v>
      </c>
      <c r="L57" s="80">
        <f>L39/BS!L57</f>
        <v>0.17930947485299298</v>
      </c>
      <c r="M57" s="80">
        <f>M39/BS!M57</f>
        <v>0.1912065606534184</v>
      </c>
      <c r="N57" s="75"/>
    </row>
    <row r="58" spans="2:14" s="184" customFormat="1" ht="24.95" customHeight="1" x14ac:dyDescent="0.15">
      <c r="B58" s="75"/>
      <c r="C58" s="78" t="s">
        <v>559</v>
      </c>
      <c r="D58" s="172"/>
      <c r="E58" s="172">
        <f>E7/D7-1</f>
        <v>1.2099754811580699</v>
      </c>
      <c r="F58" s="172">
        <f t="shared" ref="F58" si="44">F7/E7-1</f>
        <v>1.1647391023865157</v>
      </c>
      <c r="G58" s="172">
        <f t="shared" ref="G58" si="45">G7/F7-1</f>
        <v>0.25583724244952677</v>
      </c>
      <c r="H58" s="172">
        <f t="shared" ref="H58" si="46">H7/G7-1</f>
        <v>0.26052066741869973</v>
      </c>
      <c r="I58" s="172">
        <f t="shared" ref="I58" si="47">I7/H7-1</f>
        <v>0.19965894279018492</v>
      </c>
      <c r="J58" s="172">
        <f t="shared" ref="J58" si="48">J7/I7-1</f>
        <v>0.13627574741715565</v>
      </c>
      <c r="K58" s="172">
        <f t="shared" ref="K58" si="49">K7/J7-1</f>
        <v>0.16876132405923205</v>
      </c>
      <c r="L58" s="172">
        <f t="shared" ref="L58" si="50">L7/K7-1</f>
        <v>0.19759279438831379</v>
      </c>
      <c r="M58" s="172">
        <f t="shared" ref="M58" si="51">M7/L7-1</f>
        <v>0.23989341125576602</v>
      </c>
      <c r="N58" s="75"/>
    </row>
    <row r="59" spans="2:14" ht="24.95" customHeight="1" x14ac:dyDescent="0.15">
      <c r="B59" s="110"/>
      <c r="C59" s="78" t="s">
        <v>560</v>
      </c>
      <c r="D59" s="172"/>
      <c r="E59" s="172">
        <f t="shared" ref="E59" si="52">E39/D39-1</f>
        <v>-1.6975491453489728</v>
      </c>
      <c r="F59" s="172">
        <f t="shared" ref="F59" si="53">F39/E39-1</f>
        <v>25.354238402478298</v>
      </c>
      <c r="G59" s="172">
        <f t="shared" ref="G59" si="54">G39/F39-1</f>
        <v>0.27702670990269374</v>
      </c>
      <c r="H59" s="172">
        <f t="shared" ref="H59" si="55">H39/G39-1</f>
        <v>6.1009770304472077E-3</v>
      </c>
      <c r="I59" s="172">
        <f t="shared" ref="I59" si="56">I39/H39-1</f>
        <v>0.20475111363547494</v>
      </c>
      <c r="J59" s="172">
        <f t="shared" ref="J59" si="57">J39/I39-1</f>
        <v>0.17182506116506868</v>
      </c>
      <c r="K59" s="172">
        <f t="shared" ref="K59" si="58">K39/J39-1</f>
        <v>0.20045407848705077</v>
      </c>
      <c r="L59" s="172">
        <f t="shared" ref="L59" si="59">L39/K39-1</f>
        <v>0.20394929440711951</v>
      </c>
      <c r="M59" s="172">
        <f t="shared" ref="M59" si="60">M39/L39-1</f>
        <v>0.23112947743054835</v>
      </c>
      <c r="N59" s="110"/>
    </row>
    <row r="60" spans="2:14" ht="6" customHeight="1" x14ac:dyDescent="0.15">
      <c r="B60" s="110"/>
      <c r="C60" s="75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</row>
    <row r="62" spans="2:14" x14ac:dyDescent="0.15">
      <c r="J62" s="67" t="s">
        <v>473</v>
      </c>
    </row>
    <row r="63" spans="2:14" x14ac:dyDescent="0.15">
      <c r="C63" s="184" t="s">
        <v>473</v>
      </c>
    </row>
  </sheetData>
  <mergeCells count="8">
    <mergeCell ref="C47:M47"/>
    <mergeCell ref="C51:M51"/>
    <mergeCell ref="C55:M55"/>
    <mergeCell ref="C10:M10"/>
    <mergeCell ref="C24:M24"/>
    <mergeCell ref="C29:M29"/>
    <mergeCell ref="C33:M33"/>
    <mergeCell ref="C43:M43"/>
  </mergeCells>
  <phoneticPr fontId="52" type="noConversion"/>
  <pageMargins left="0.7" right="0.7" top="0.75" bottom="0.75" header="0.3" footer="0.3"/>
  <pageSetup paperSize="9" orientation="portrait" horizontalDpi="2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1454817346722"/>
    <outlinePr summaryBelow="0"/>
  </sheetPr>
  <dimension ref="B1:T69"/>
  <sheetViews>
    <sheetView showGridLines="0" zoomScale="85" zoomScaleNormal="85" workbookViewId="0">
      <pane xSplit="3" ySplit="6" topLeftCell="G49" activePane="bottomRight" state="frozen"/>
      <selection pane="topRight"/>
      <selection pane="bottomLeft"/>
      <selection pane="bottomRight" activeCell="I36" sqref="I36:M36"/>
    </sheetView>
  </sheetViews>
  <sheetFormatPr defaultColWidth="9" defaultRowHeight="16.5" outlineLevelRow="1" x14ac:dyDescent="0.15"/>
  <cols>
    <col min="1" max="1" width="4.125" style="67" customWidth="1"/>
    <col min="2" max="2" width="0.875" style="67" customWidth="1"/>
    <col min="3" max="3" width="33.5" style="66" customWidth="1"/>
    <col min="4" max="13" width="15.625" style="67" customWidth="1"/>
    <col min="14" max="14" width="0.5" style="67" hidden="1" customWidth="1"/>
    <col min="15" max="17" width="15.625" style="67" hidden="1" customWidth="1"/>
    <col min="18" max="18" width="0.875" style="67" customWidth="1"/>
    <col min="19" max="20" width="13.25" style="67" customWidth="1"/>
    <col min="21" max="16384" width="9" style="67"/>
  </cols>
  <sheetData>
    <row r="1" spans="2:18" s="110" customFormat="1" ht="12" customHeight="1" x14ac:dyDescent="0.15">
      <c r="C1" s="75"/>
    </row>
    <row r="2" spans="2:18" s="112" customFormat="1" ht="12" customHeight="1" x14ac:dyDescent="0.15">
      <c r="C2" s="156"/>
      <c r="H2" s="157"/>
      <c r="P2" s="157"/>
      <c r="Q2" s="157"/>
    </row>
    <row r="3" spans="2:18" s="112" customFormat="1" ht="12" customHeight="1" x14ac:dyDescent="0.15">
      <c r="C3" s="158"/>
      <c r="D3" s="159"/>
      <c r="E3" s="159"/>
      <c r="F3" s="159"/>
      <c r="G3" s="159"/>
      <c r="H3" s="159"/>
      <c r="I3" s="175"/>
      <c r="J3" s="175"/>
      <c r="K3" s="175"/>
      <c r="L3" s="175"/>
      <c r="M3" s="58"/>
      <c r="N3" s="175"/>
      <c r="O3" s="159"/>
      <c r="P3" s="159"/>
      <c r="Q3" s="159"/>
      <c r="R3" s="175"/>
    </row>
    <row r="4" spans="2:18" s="154" customFormat="1" ht="23.1" customHeight="1" x14ac:dyDescent="0.15">
      <c r="C4" s="160"/>
      <c r="D4" s="161"/>
      <c r="E4" s="161"/>
      <c r="F4" s="161"/>
      <c r="G4" s="162"/>
      <c r="H4" s="162"/>
      <c r="I4" s="176"/>
      <c r="J4" s="177"/>
      <c r="K4" s="177"/>
      <c r="L4" s="177"/>
      <c r="M4" s="177"/>
      <c r="N4" s="177"/>
      <c r="O4" s="161"/>
      <c r="P4" s="161"/>
      <c r="Q4" s="161"/>
      <c r="R4" s="177"/>
    </row>
    <row r="5" spans="2:18" s="154" customFormat="1" ht="6" customHeight="1" x14ac:dyDescent="0.15">
      <c r="B5" s="112"/>
      <c r="C5" s="158"/>
      <c r="D5" s="159"/>
      <c r="E5" s="159"/>
      <c r="F5" s="159"/>
      <c r="G5" s="159"/>
      <c r="H5" s="159"/>
      <c r="I5" s="175"/>
      <c r="J5" s="175"/>
      <c r="K5" s="175"/>
      <c r="L5" s="175"/>
      <c r="M5" s="175"/>
      <c r="N5" s="175"/>
      <c r="O5" s="159"/>
      <c r="P5" s="159"/>
      <c r="Q5" s="159"/>
      <c r="R5" s="175"/>
    </row>
    <row r="6" spans="2:18" s="155" customFormat="1" ht="24.95" customHeight="1" x14ac:dyDescent="0.15">
      <c r="B6" s="110"/>
      <c r="C6" s="163" t="s">
        <v>561</v>
      </c>
      <c r="D6" s="126">
        <v>2014</v>
      </c>
      <c r="E6" s="126">
        <v>2015</v>
      </c>
      <c r="F6" s="126">
        <v>2016</v>
      </c>
      <c r="G6" s="126">
        <v>2017</v>
      </c>
      <c r="H6" s="126">
        <v>2018</v>
      </c>
      <c r="I6" s="141" t="s">
        <v>28</v>
      </c>
      <c r="J6" s="141" t="s">
        <v>29</v>
      </c>
      <c r="K6" s="141" t="s">
        <v>30</v>
      </c>
      <c r="L6" s="141" t="s">
        <v>31</v>
      </c>
      <c r="M6" s="141" t="s">
        <v>32</v>
      </c>
      <c r="N6" s="110"/>
      <c r="O6" s="126" t="s">
        <v>562</v>
      </c>
      <c r="P6" s="126" t="s">
        <v>563</v>
      </c>
      <c r="Q6" s="126" t="s">
        <v>564</v>
      </c>
      <c r="R6" s="110"/>
    </row>
    <row r="7" spans="2:18" ht="24.95" customHeight="1" x14ac:dyDescent="0.15">
      <c r="B7" s="110"/>
      <c r="C7" s="164" t="s">
        <v>565</v>
      </c>
      <c r="D7" s="165"/>
      <c r="E7" s="166"/>
      <c r="F7" s="166"/>
      <c r="G7" s="166"/>
      <c r="H7" s="166"/>
      <c r="I7" s="166"/>
      <c r="J7" s="166"/>
      <c r="K7" s="166"/>
      <c r="L7" s="166"/>
      <c r="M7" s="166"/>
      <c r="N7" s="178"/>
      <c r="O7" s="165"/>
      <c r="P7" s="165"/>
      <c r="Q7" s="165"/>
      <c r="R7" s="173"/>
    </row>
    <row r="8" spans="2:18" ht="24.95" customHeight="1" x14ac:dyDescent="0.15">
      <c r="B8" s="110"/>
      <c r="C8" s="167" t="s">
        <v>566</v>
      </c>
      <c r="D8" s="129">
        <v>11879.07</v>
      </c>
      <c r="E8" s="129">
        <v>11403.94</v>
      </c>
      <c r="F8" s="129">
        <v>41855.410000000003</v>
      </c>
      <c r="G8" s="129">
        <v>41800.74</v>
      </c>
      <c r="H8" s="129">
        <v>81679.8</v>
      </c>
      <c r="I8" s="129">
        <f>CS!J54</f>
        <v>172662.44775313837</v>
      </c>
      <c r="J8" s="129">
        <f>CS!K54</f>
        <v>198979.64889483218</v>
      </c>
      <c r="K8" s="129">
        <f>CS!L54</f>
        <v>292444.00384188333</v>
      </c>
      <c r="L8" s="129">
        <f>CS!M54</f>
        <v>381862.87673725019</v>
      </c>
      <c r="M8" s="129">
        <f>CS!N54</f>
        <v>501262.05162522633</v>
      </c>
      <c r="N8" s="173"/>
      <c r="O8" s="129"/>
      <c r="P8" s="129"/>
      <c r="Q8" s="129"/>
      <c r="R8" s="173"/>
    </row>
    <row r="9" spans="2:18" ht="24.95" customHeight="1" x14ac:dyDescent="0.15">
      <c r="B9" s="110"/>
      <c r="C9" s="167" t="s">
        <v>567</v>
      </c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73"/>
      <c r="O9" s="129"/>
      <c r="P9" s="129"/>
      <c r="Q9" s="129"/>
      <c r="R9" s="173"/>
    </row>
    <row r="10" spans="2:18" ht="24.95" customHeight="1" x14ac:dyDescent="0.15">
      <c r="B10" s="110"/>
      <c r="C10" s="167" t="s">
        <v>568</v>
      </c>
      <c r="D10" s="129">
        <v>4117.29</v>
      </c>
      <c r="E10" s="129">
        <v>6950.21</v>
      </c>
      <c r="F10" s="129">
        <v>19302.11</v>
      </c>
      <c r="G10" s="129">
        <v>14020.54</v>
      </c>
      <c r="H10" s="129">
        <v>30363.65</v>
      </c>
      <c r="I10" s="129">
        <f>IS!I8/资产负债假设!J9</f>
        <v>30556.419987802987</v>
      </c>
      <c r="J10" s="129">
        <f>IS!J8/资产负债假设!K9</f>
        <v>33501.694904891279</v>
      </c>
      <c r="K10" s="129">
        <f>IS!K8/资产负债假设!L9</f>
        <v>37827.591033304372</v>
      </c>
      <c r="L10" s="129">
        <f>IS!L8/资产负债假设!M9</f>
        <v>43816.099092083285</v>
      </c>
      <c r="M10" s="129">
        <f>IS!M8/资产负债假设!N9</f>
        <v>52601.899071227301</v>
      </c>
      <c r="N10" s="173"/>
      <c r="O10" s="129"/>
      <c r="P10" s="129"/>
      <c r="Q10" s="129"/>
      <c r="R10" s="173"/>
    </row>
    <row r="11" spans="2:18" ht="24.95" customHeight="1" x14ac:dyDescent="0.15">
      <c r="B11" s="110"/>
      <c r="C11" s="167" t="s">
        <v>569</v>
      </c>
      <c r="D11" s="129">
        <v>318.66000000000003</v>
      </c>
      <c r="E11" s="129">
        <v>2627.93</v>
      </c>
      <c r="F11" s="129">
        <v>4906.0200000000004</v>
      </c>
      <c r="G11" s="129">
        <v>6857.96</v>
      </c>
      <c r="H11" s="129">
        <v>4803.8500000000004</v>
      </c>
      <c r="I11" s="179">
        <f>H11*(1+IS!I9)</f>
        <v>5762.9816123226301</v>
      </c>
      <c r="J11" s="179">
        <f>I11*(1+IS!J9)</f>
        <v>6548.336238893221</v>
      </c>
      <c r="K11" s="179">
        <f>J11*(1+IS!K9)</f>
        <v>7653.4421329538927</v>
      </c>
      <c r="L11" s="179">
        <f>K11*(1+IS!L9)</f>
        <v>9165.7071506935081</v>
      </c>
      <c r="M11" s="179">
        <f>L11*(1+IS!M9)</f>
        <v>11364.499905644741</v>
      </c>
      <c r="N11" s="173"/>
      <c r="O11" s="129"/>
      <c r="P11" s="129"/>
      <c r="Q11" s="129"/>
      <c r="R11" s="173"/>
    </row>
    <row r="12" spans="2:18" ht="24.95" customHeight="1" x14ac:dyDescent="0.15">
      <c r="B12" s="110"/>
      <c r="C12" s="167" t="s">
        <v>570</v>
      </c>
      <c r="D12" s="129">
        <v>360</v>
      </c>
      <c r="E12" s="129">
        <v>114</v>
      </c>
      <c r="F12" s="129">
        <v>123</v>
      </c>
      <c r="G12" s="129">
        <v>132</v>
      </c>
      <c r="H12" s="129">
        <v>149</v>
      </c>
      <c r="I12" s="179">
        <f>H12</f>
        <v>149</v>
      </c>
      <c r="J12" s="179">
        <f t="shared" ref="J12:M12" si="0">I12</f>
        <v>149</v>
      </c>
      <c r="K12" s="179">
        <f t="shared" si="0"/>
        <v>149</v>
      </c>
      <c r="L12" s="179">
        <f t="shared" si="0"/>
        <v>149</v>
      </c>
      <c r="M12" s="179">
        <f t="shared" si="0"/>
        <v>149</v>
      </c>
      <c r="N12" s="173"/>
      <c r="O12" s="129"/>
      <c r="P12" s="129"/>
      <c r="Q12" s="129"/>
      <c r="R12" s="173"/>
    </row>
    <row r="13" spans="2:18" ht="24.95" customHeight="1" x14ac:dyDescent="0.15">
      <c r="B13" s="110"/>
      <c r="C13" s="167" t="s">
        <v>571</v>
      </c>
      <c r="D13" s="129">
        <v>342.95</v>
      </c>
      <c r="E13" s="129">
        <v>453.04</v>
      </c>
      <c r="F13" s="129">
        <v>1063.1600000000001</v>
      </c>
      <c r="G13" s="129">
        <v>2040.95</v>
      </c>
      <c r="H13" s="129">
        <v>2659.42</v>
      </c>
      <c r="I13" s="179">
        <f>H13*(1+IS!I9)</f>
        <v>3190.3969856350736</v>
      </c>
      <c r="J13" s="179">
        <f>I13*(1+IS!J9)</f>
        <v>3625.1707194099336</v>
      </c>
      <c r="K13" s="179">
        <f>J13*(1+IS!K9)</f>
        <v>4236.959329958313</v>
      </c>
      <c r="L13" s="179">
        <f>K13*(1+IS!L9)</f>
        <v>5074.1519636744133</v>
      </c>
      <c r="M13" s="179">
        <f>L13*(1+IS!M9)</f>
        <v>6291.4075874704122</v>
      </c>
      <c r="N13" s="173"/>
      <c r="O13" s="129"/>
      <c r="P13" s="129"/>
      <c r="Q13" s="129"/>
      <c r="R13" s="173"/>
    </row>
    <row r="14" spans="2:18" ht="24.95" customHeight="1" x14ac:dyDescent="0.15">
      <c r="B14" s="110"/>
      <c r="C14" s="167" t="s">
        <v>572</v>
      </c>
      <c r="D14" s="129"/>
      <c r="E14" s="129"/>
      <c r="F14" s="129"/>
      <c r="G14" s="129"/>
      <c r="H14" s="129"/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3"/>
      <c r="O14" s="129"/>
      <c r="P14" s="129"/>
      <c r="Q14" s="129"/>
      <c r="R14" s="173"/>
    </row>
    <row r="15" spans="2:18" ht="24.95" customHeight="1" x14ac:dyDescent="0.15">
      <c r="B15" s="110"/>
      <c r="C15" s="345" t="s">
        <v>746</v>
      </c>
      <c r="D15" s="129">
        <v>51.05</v>
      </c>
      <c r="E15" s="129">
        <v>91.64</v>
      </c>
      <c r="F15" s="129"/>
      <c r="G15" s="129"/>
      <c r="H15" s="129"/>
      <c r="I15" s="179">
        <v>0</v>
      </c>
      <c r="J15" s="179">
        <v>0</v>
      </c>
      <c r="K15" s="179">
        <v>0</v>
      </c>
      <c r="L15" s="179">
        <v>0</v>
      </c>
      <c r="M15" s="179">
        <v>0</v>
      </c>
      <c r="N15" s="173"/>
      <c r="O15" s="129"/>
      <c r="P15" s="129"/>
      <c r="Q15" s="129"/>
      <c r="R15" s="173"/>
    </row>
    <row r="16" spans="2:18" ht="24.95" customHeight="1" x14ac:dyDescent="0.15">
      <c r="B16" s="110"/>
      <c r="C16" s="167" t="s">
        <v>573</v>
      </c>
      <c r="D16" s="129">
        <v>34858.720000000001</v>
      </c>
      <c r="E16" s="129">
        <v>65838.899999999994</v>
      </c>
      <c r="F16" s="129">
        <v>116800.08</v>
      </c>
      <c r="G16" s="129">
        <v>108754.53</v>
      </c>
      <c r="H16" s="129">
        <v>123971.6</v>
      </c>
      <c r="I16" s="129">
        <f>IS!I12/资产负债假设!J10</f>
        <v>138695.55234480946</v>
      </c>
      <c r="J16" s="129">
        <f>IS!J12/资产负债假设!K10</f>
        <v>147108.50889978211</v>
      </c>
      <c r="K16" s="129">
        <f>IS!K12/资产负债假设!L10</f>
        <v>164481.0260061158</v>
      </c>
      <c r="L16" s="129">
        <f>IS!L12/资产负债假设!M10</f>
        <v>189067.85407864943</v>
      </c>
      <c r="M16" s="129">
        <f>IS!M12/资产负债假设!N10</f>
        <v>229926.29477168125</v>
      </c>
      <c r="N16" s="173"/>
      <c r="O16" s="129"/>
      <c r="P16" s="129"/>
      <c r="Q16" s="129"/>
      <c r="R16" s="173"/>
    </row>
    <row r="17" spans="2:18" ht="24.95" customHeight="1" x14ac:dyDescent="0.15">
      <c r="B17" s="110"/>
      <c r="C17" s="167" t="s">
        <v>574</v>
      </c>
      <c r="D17" s="129">
        <v>5063.79</v>
      </c>
      <c r="E17" s="129">
        <v>6284.69</v>
      </c>
      <c r="F17" s="129">
        <v>5417.5</v>
      </c>
      <c r="G17" s="129">
        <v>5408.88</v>
      </c>
      <c r="H17" s="129">
        <v>4349.9799999999996</v>
      </c>
      <c r="I17" s="179">
        <f>H17</f>
        <v>4349.9799999999996</v>
      </c>
      <c r="J17" s="179">
        <f t="shared" ref="J17:M17" si="1">I17</f>
        <v>4349.9799999999996</v>
      </c>
      <c r="K17" s="179">
        <f t="shared" si="1"/>
        <v>4349.9799999999996</v>
      </c>
      <c r="L17" s="179">
        <f t="shared" si="1"/>
        <v>4349.9799999999996</v>
      </c>
      <c r="M17" s="179">
        <f t="shared" si="1"/>
        <v>4349.9799999999996</v>
      </c>
      <c r="N17" s="173"/>
      <c r="O17" s="129"/>
      <c r="P17" s="129"/>
      <c r="Q17" s="129"/>
      <c r="R17" s="173"/>
    </row>
    <row r="18" spans="2:18" ht="24.95" customHeight="1" x14ac:dyDescent="0.15">
      <c r="B18" s="110"/>
      <c r="C18" s="164" t="s">
        <v>575</v>
      </c>
      <c r="D18" s="165">
        <v>56631.519999999997</v>
      </c>
      <c r="E18" s="165">
        <v>93650.34</v>
      </c>
      <c r="F18" s="165">
        <v>189344.28</v>
      </c>
      <c r="G18" s="165">
        <v>178883.6</v>
      </c>
      <c r="H18" s="165">
        <v>247828.3</v>
      </c>
      <c r="I18" s="165">
        <f t="shared" ref="I18:M18" si="2">SUM(I8:I17)</f>
        <v>355366.77868370852</v>
      </c>
      <c r="J18" s="165">
        <f t="shared" si="2"/>
        <v>394262.33965780871</v>
      </c>
      <c r="K18" s="165">
        <f t="shared" si="2"/>
        <v>511142.00234421575</v>
      </c>
      <c r="L18" s="165">
        <f t="shared" si="2"/>
        <v>633485.6690223508</v>
      </c>
      <c r="M18" s="165">
        <f t="shared" si="2"/>
        <v>805945.13296124991</v>
      </c>
      <c r="N18" s="178" t="s">
        <v>473</v>
      </c>
      <c r="O18" s="165">
        <f>SUM(O8:O17)-O8</f>
        <v>0</v>
      </c>
      <c r="P18" s="165">
        <f>SUM(P8:P17)-P8</f>
        <v>0</v>
      </c>
      <c r="Q18" s="165">
        <f>SUM(Q8:Q17)-Q8</f>
        <v>0</v>
      </c>
      <c r="R18" s="173" t="s">
        <v>473</v>
      </c>
    </row>
    <row r="19" spans="2:18" ht="24.95" customHeight="1" x14ac:dyDescent="0.15">
      <c r="B19" s="110"/>
      <c r="C19" s="167" t="s">
        <v>576</v>
      </c>
      <c r="D19" s="129"/>
      <c r="E19" s="129"/>
      <c r="F19" s="129"/>
      <c r="G19" s="129"/>
      <c r="H19" s="129"/>
      <c r="I19" s="179"/>
      <c r="J19" s="179"/>
      <c r="K19" s="179"/>
      <c r="L19" s="179"/>
      <c r="M19" s="179"/>
      <c r="N19" s="173"/>
      <c r="O19" s="129"/>
      <c r="P19" s="129"/>
      <c r="Q19" s="129"/>
      <c r="R19" s="173"/>
    </row>
    <row r="20" spans="2:18" ht="24.95" customHeight="1" x14ac:dyDescent="0.15">
      <c r="B20" s="110"/>
      <c r="C20" s="167" t="s">
        <v>577</v>
      </c>
      <c r="D20" s="129"/>
      <c r="E20" s="129"/>
      <c r="F20" s="129">
        <v>200</v>
      </c>
      <c r="G20" s="129">
        <v>395.38</v>
      </c>
      <c r="H20" s="129">
        <v>404.27</v>
      </c>
      <c r="I20" s="179">
        <f>H20+IS!I20+资本开支假设!G12</f>
        <v>404.27</v>
      </c>
      <c r="J20" s="179">
        <f>I20+IS!J20+资本开支假设!H12</f>
        <v>404.27</v>
      </c>
      <c r="K20" s="179">
        <f>J20+IS!K20+资本开支假设!I12</f>
        <v>404.27</v>
      </c>
      <c r="L20" s="179">
        <f>K20+IS!L20+资本开支假设!J12</f>
        <v>404.27</v>
      </c>
      <c r="M20" s="179">
        <f>L20+IS!M20+资本开支假设!K12</f>
        <v>404.27</v>
      </c>
      <c r="N20" s="173"/>
      <c r="O20" s="129"/>
      <c r="P20" s="129"/>
      <c r="Q20" s="129"/>
      <c r="R20" s="173"/>
    </row>
    <row r="21" spans="2:18" ht="24.95" customHeight="1" x14ac:dyDescent="0.15">
      <c r="B21" s="110"/>
      <c r="C21" s="167" t="s">
        <v>578</v>
      </c>
      <c r="D21" s="129"/>
      <c r="E21" s="129"/>
      <c r="F21" s="129"/>
      <c r="G21" s="129"/>
      <c r="H21" s="129"/>
      <c r="I21" s="129">
        <f>资本开支假设!G25</f>
        <v>0</v>
      </c>
      <c r="J21" s="129">
        <f>资本开支假设!H25</f>
        <v>0</v>
      </c>
      <c r="K21" s="129">
        <f>资本开支假设!I25</f>
        <v>0</v>
      </c>
      <c r="L21" s="129">
        <f>资本开支假设!J25</f>
        <v>0</v>
      </c>
      <c r="M21" s="129">
        <f>资本开支假设!K25</f>
        <v>0</v>
      </c>
      <c r="N21" s="173"/>
      <c r="O21" s="129"/>
      <c r="P21" s="129"/>
      <c r="Q21" s="129"/>
      <c r="R21" s="173"/>
    </row>
    <row r="22" spans="2:18" ht="24.95" customHeight="1" x14ac:dyDescent="0.15">
      <c r="B22" s="110"/>
      <c r="C22" s="167" t="s">
        <v>579</v>
      </c>
      <c r="D22" s="129">
        <v>4716.78</v>
      </c>
      <c r="E22" s="129">
        <v>8852.86</v>
      </c>
      <c r="F22" s="129">
        <v>17201.59</v>
      </c>
      <c r="G22" s="129">
        <v>26610.48</v>
      </c>
      <c r="H22" s="129">
        <v>25531.35</v>
      </c>
      <c r="I22" s="129">
        <f>资本开支假设!G37</f>
        <v>48446.518349999991</v>
      </c>
      <c r="J22" s="129">
        <f>资本开支假设!H37</f>
        <v>88515.729455999986</v>
      </c>
      <c r="K22" s="129">
        <f>资本开支假设!I37</f>
        <v>117001.17210965998</v>
      </c>
      <c r="L22" s="129">
        <f>资本开支假设!J37</f>
        <v>117297.59617355757</v>
      </c>
      <c r="M22" s="129">
        <f>资本开支假设!K37</f>
        <v>117818.1366130845</v>
      </c>
      <c r="N22" s="173"/>
      <c r="O22" s="129"/>
      <c r="P22" s="129"/>
      <c r="Q22" s="129"/>
      <c r="R22" s="173"/>
    </row>
    <row r="23" spans="2:18" ht="24.95" customHeight="1" x14ac:dyDescent="0.15">
      <c r="B23" s="110"/>
      <c r="C23" s="167" t="s">
        <v>499</v>
      </c>
      <c r="D23" s="129">
        <v>845.27</v>
      </c>
      <c r="E23" s="129">
        <v>2452.9499999999998</v>
      </c>
      <c r="F23" s="129">
        <v>1207.3599999999999</v>
      </c>
      <c r="G23" s="129">
        <v>1921.73</v>
      </c>
      <c r="H23" s="129">
        <v>18824.55</v>
      </c>
      <c r="I23" s="129">
        <f>资本开支假设!G38</f>
        <v>20707.005000000001</v>
      </c>
      <c r="J23" s="129">
        <f>资本开支假设!H38</f>
        <v>31060.5075</v>
      </c>
      <c r="K23" s="129">
        <f>资本开支假设!I38</f>
        <v>3106.0507500000003</v>
      </c>
      <c r="L23" s="129">
        <f>资本开支假设!J38</f>
        <v>2174.2355250000001</v>
      </c>
      <c r="M23" s="129">
        <f>资本开支假设!K38</f>
        <v>1956.8119725000001</v>
      </c>
      <c r="N23" s="173"/>
      <c r="O23" s="129"/>
      <c r="P23" s="129"/>
      <c r="Q23" s="129"/>
      <c r="R23" s="173"/>
    </row>
    <row r="24" spans="2:18" ht="24.95" customHeight="1" x14ac:dyDescent="0.15">
      <c r="B24" s="110"/>
      <c r="C24" s="167" t="s">
        <v>580</v>
      </c>
      <c r="D24" s="129"/>
      <c r="E24" s="129"/>
      <c r="F24" s="129"/>
      <c r="G24" s="129"/>
      <c r="H24" s="129"/>
      <c r="I24" s="129">
        <f>资本开支假设!G50</f>
        <v>0</v>
      </c>
      <c r="J24" s="129">
        <f>资本开支假设!H50</f>
        <v>0</v>
      </c>
      <c r="K24" s="129">
        <f>资本开支假设!I50</f>
        <v>0</v>
      </c>
      <c r="L24" s="129">
        <f>资本开支假设!J50</f>
        <v>0</v>
      </c>
      <c r="M24" s="129">
        <f>资本开支假设!K50</f>
        <v>0</v>
      </c>
      <c r="N24" s="173"/>
      <c r="O24" s="129"/>
      <c r="P24" s="129"/>
      <c r="Q24" s="129"/>
      <c r="R24" s="173"/>
    </row>
    <row r="25" spans="2:18" ht="24.95" customHeight="1" x14ac:dyDescent="0.15">
      <c r="B25" s="110"/>
      <c r="C25" s="167" t="s">
        <v>581</v>
      </c>
      <c r="D25" s="129">
        <v>1115.8599999999999</v>
      </c>
      <c r="E25" s="129">
        <v>1931.4</v>
      </c>
      <c r="F25" s="129">
        <v>4067.57</v>
      </c>
      <c r="G25" s="129">
        <v>6446.3</v>
      </c>
      <c r="H25" s="129">
        <v>11407.37</v>
      </c>
      <c r="I25" s="129">
        <f>资本开支假设!G62</f>
        <v>21493.179994057467</v>
      </c>
      <c r="J25" s="129">
        <f>资本开支假设!H62</f>
        <v>36290.134606444655</v>
      </c>
      <c r="K25" s="129">
        <f>资本开支假设!I62</f>
        <v>39315.570906448454</v>
      </c>
      <c r="L25" s="129">
        <f>资本开支假设!J62</f>
        <v>43074.104714269903</v>
      </c>
      <c r="M25" s="129">
        <f>资本开支假设!K62</f>
        <v>47510.234941476621</v>
      </c>
      <c r="N25" s="173"/>
      <c r="O25" s="129"/>
      <c r="P25" s="129"/>
      <c r="Q25" s="129"/>
      <c r="R25" s="173"/>
    </row>
    <row r="26" spans="2:18" ht="24.95" customHeight="1" x14ac:dyDescent="0.15">
      <c r="B26" s="110"/>
      <c r="C26" s="167" t="s">
        <v>504</v>
      </c>
      <c r="D26" s="129"/>
      <c r="E26" s="129"/>
      <c r="F26" s="129"/>
      <c r="G26" s="129"/>
      <c r="H26" s="129"/>
      <c r="I26" s="129">
        <f>资本开支假设!G63</f>
        <v>0</v>
      </c>
      <c r="J26" s="129">
        <f>资本开支假设!H63</f>
        <v>0</v>
      </c>
      <c r="K26" s="129">
        <f>资本开支假设!I63</f>
        <v>0</v>
      </c>
      <c r="L26" s="129">
        <f>资本开支假设!J63</f>
        <v>0</v>
      </c>
      <c r="M26" s="129">
        <f>资本开支假设!K63</f>
        <v>0</v>
      </c>
      <c r="N26" s="173"/>
      <c r="O26" s="129"/>
      <c r="P26" s="129"/>
      <c r="Q26" s="129"/>
      <c r="R26" s="173"/>
    </row>
    <row r="27" spans="2:18" ht="24.95" customHeight="1" x14ac:dyDescent="0.15">
      <c r="B27" s="110"/>
      <c r="C27" s="167" t="s">
        <v>582</v>
      </c>
      <c r="D27" s="129"/>
      <c r="E27" s="129"/>
      <c r="F27" s="129"/>
      <c r="G27" s="129"/>
      <c r="H27" s="129"/>
      <c r="I27" s="179">
        <f>H27</f>
        <v>0</v>
      </c>
      <c r="J27" s="179">
        <f t="shared" ref="J27:M27" si="3">I27</f>
        <v>0</v>
      </c>
      <c r="K27" s="179">
        <f t="shared" si="3"/>
        <v>0</v>
      </c>
      <c r="L27" s="179">
        <f t="shared" si="3"/>
        <v>0</v>
      </c>
      <c r="M27" s="179">
        <f t="shared" si="3"/>
        <v>0</v>
      </c>
      <c r="N27" s="173"/>
      <c r="O27" s="129"/>
      <c r="P27" s="129"/>
      <c r="Q27" s="129"/>
      <c r="R27" s="173"/>
    </row>
    <row r="28" spans="2:18" ht="24.95" customHeight="1" x14ac:dyDescent="0.15">
      <c r="B28" s="110"/>
      <c r="C28" s="167" t="s">
        <v>583</v>
      </c>
      <c r="D28" s="129">
        <v>69.23</v>
      </c>
      <c r="E28" s="129">
        <v>135.84</v>
      </c>
      <c r="F28" s="129">
        <v>574.09</v>
      </c>
      <c r="G28" s="129">
        <v>2981.23</v>
      </c>
      <c r="H28" s="129">
        <v>2936.48</v>
      </c>
      <c r="I28" s="129">
        <f>资本开支假设!G75</f>
        <v>3773.0455639940928</v>
      </c>
      <c r="J28" s="129">
        <f>资本开支假设!H75</f>
        <v>4565.1427358415176</v>
      </c>
      <c r="K28" s="129">
        <f>资本开支假设!I75</f>
        <v>5382.5093596147808</v>
      </c>
      <c r="L28" s="129">
        <f>资本开支假设!J75</f>
        <v>6291.7965173087005</v>
      </c>
      <c r="M28" s="129">
        <f>资本开支假设!K75</f>
        <v>7396.3144963320628</v>
      </c>
      <c r="N28" s="173"/>
      <c r="O28" s="129"/>
      <c r="P28" s="129"/>
      <c r="Q28" s="129"/>
      <c r="R28" s="173"/>
    </row>
    <row r="29" spans="2:18" ht="24.95" customHeight="1" x14ac:dyDescent="0.15">
      <c r="B29" s="110"/>
      <c r="C29" s="167" t="s">
        <v>584</v>
      </c>
      <c r="D29" s="129">
        <v>248.34</v>
      </c>
      <c r="E29" s="129">
        <v>164.84</v>
      </c>
      <c r="F29" s="129">
        <v>229.36</v>
      </c>
      <c r="G29" s="129">
        <v>724.15</v>
      </c>
      <c r="H29" s="129">
        <v>1171.17</v>
      </c>
      <c r="I29" s="179">
        <f>H29*(1+IS!I31)</f>
        <v>1423.7187835109578</v>
      </c>
      <c r="J29" s="179">
        <f>I29*(1+IS!J31)</f>
        <v>1668.3493505695849</v>
      </c>
      <c r="K29" s="179">
        <f>J29*(1+IS!K31)</f>
        <v>2002.7767822324806</v>
      </c>
      <c r="L29" s="179">
        <f>K29*(1+IS!L31)</f>
        <v>2411.2416938237561</v>
      </c>
      <c r="M29" s="179">
        <f>L29*(1+IS!M31)</f>
        <v>2968.5507264759913</v>
      </c>
      <c r="N29" s="173"/>
      <c r="O29" s="129"/>
      <c r="P29" s="129"/>
      <c r="Q29" s="129"/>
      <c r="R29" s="173"/>
    </row>
    <row r="30" spans="2:18" ht="24.95" customHeight="1" x14ac:dyDescent="0.15">
      <c r="B30" s="110"/>
      <c r="C30" s="167" t="s">
        <v>585</v>
      </c>
      <c r="D30" s="129">
        <v>1568.58</v>
      </c>
      <c r="E30" s="129">
        <v>465.55</v>
      </c>
      <c r="F30" s="129">
        <v>380.33</v>
      </c>
      <c r="G30" s="129">
        <v>256.88</v>
      </c>
      <c r="H30" s="129">
        <v>1545.93</v>
      </c>
      <c r="I30" s="179">
        <v>1545.93</v>
      </c>
      <c r="J30" s="179">
        <v>1545.93</v>
      </c>
      <c r="K30" s="179">
        <v>1545.93</v>
      </c>
      <c r="L30" s="179">
        <v>1545.93</v>
      </c>
      <c r="M30" s="179">
        <v>1545.93</v>
      </c>
      <c r="N30" s="173"/>
      <c r="O30" s="129"/>
      <c r="P30" s="129"/>
      <c r="Q30" s="129"/>
      <c r="R30" s="173"/>
    </row>
    <row r="31" spans="2:18" ht="24.95" customHeight="1" x14ac:dyDescent="0.15">
      <c r="B31" s="110"/>
      <c r="C31" s="164" t="s">
        <v>586</v>
      </c>
      <c r="D31" s="165">
        <f t="shared" ref="D31:M31" si="4">SUM(D19:D30)</f>
        <v>8564.0599999999977</v>
      </c>
      <c r="E31" s="165">
        <f t="shared" si="4"/>
        <v>14003.44</v>
      </c>
      <c r="F31" s="165">
        <f t="shared" si="4"/>
        <v>23860.300000000003</v>
      </c>
      <c r="G31" s="165">
        <f t="shared" si="4"/>
        <v>39336.15</v>
      </c>
      <c r="H31" s="165">
        <f t="shared" si="4"/>
        <v>61821.120000000003</v>
      </c>
      <c r="I31" s="165">
        <f t="shared" si="4"/>
        <v>97793.667691562499</v>
      </c>
      <c r="J31" s="165">
        <f t="shared" si="4"/>
        <v>164050.06364885575</v>
      </c>
      <c r="K31" s="165">
        <f t="shared" si="4"/>
        <v>168758.27990795567</v>
      </c>
      <c r="L31" s="165">
        <f t="shared" si="4"/>
        <v>173199.17462395993</v>
      </c>
      <c r="M31" s="165">
        <f t="shared" si="4"/>
        <v>179600.24874986915</v>
      </c>
      <c r="N31" s="178" t="s">
        <v>473</v>
      </c>
      <c r="O31" s="165">
        <f>SUM(O22:O30)</f>
        <v>0</v>
      </c>
      <c r="P31" s="165">
        <f>SUM(P22:P30)</f>
        <v>0</v>
      </c>
      <c r="Q31" s="165">
        <f>SUM(Q22:Q30)</f>
        <v>0</v>
      </c>
      <c r="R31" s="173" t="s">
        <v>473</v>
      </c>
    </row>
    <row r="32" spans="2:18" ht="24.95" customHeight="1" x14ac:dyDescent="0.15">
      <c r="B32" s="110"/>
      <c r="C32" s="164" t="s">
        <v>587</v>
      </c>
      <c r="D32" s="165">
        <f t="shared" ref="D32:M32" si="5">D31+D18</f>
        <v>65195.579999999994</v>
      </c>
      <c r="E32" s="165">
        <f t="shared" si="5"/>
        <v>107653.78</v>
      </c>
      <c r="F32" s="165">
        <f t="shared" si="5"/>
        <v>213204.58000000002</v>
      </c>
      <c r="G32" s="165">
        <f t="shared" si="5"/>
        <v>218219.75</v>
      </c>
      <c r="H32" s="165">
        <f t="shared" si="5"/>
        <v>309649.42</v>
      </c>
      <c r="I32" s="165">
        <f t="shared" si="5"/>
        <v>453160.44637527101</v>
      </c>
      <c r="J32" s="165">
        <f t="shared" si="5"/>
        <v>558312.40330666443</v>
      </c>
      <c r="K32" s="165">
        <f t="shared" si="5"/>
        <v>679900.28225217143</v>
      </c>
      <c r="L32" s="165">
        <f t="shared" si="5"/>
        <v>806684.84364631074</v>
      </c>
      <c r="M32" s="165">
        <f t="shared" si="5"/>
        <v>985545.38171111909</v>
      </c>
      <c r="N32" s="178"/>
      <c r="O32" s="165">
        <f>O31+O18</f>
        <v>0</v>
      </c>
      <c r="P32" s="165">
        <f>P31+P18</f>
        <v>0</v>
      </c>
      <c r="Q32" s="165">
        <f>Q31+Q18</f>
        <v>0</v>
      </c>
      <c r="R32" s="173"/>
    </row>
    <row r="33" spans="2:20" ht="24.95" customHeight="1" x14ac:dyDescent="0.15">
      <c r="B33" s="110"/>
      <c r="C33" s="164" t="s">
        <v>588</v>
      </c>
      <c r="D33" s="165"/>
      <c r="E33" s="168"/>
      <c r="F33" s="168"/>
      <c r="G33" s="168"/>
      <c r="H33" s="168"/>
      <c r="I33" s="165"/>
      <c r="J33" s="165"/>
      <c r="K33" s="165"/>
      <c r="L33" s="165"/>
      <c r="M33" s="165"/>
      <c r="N33" s="178"/>
      <c r="O33" s="165"/>
      <c r="P33" s="165"/>
      <c r="Q33" s="165"/>
      <c r="R33" s="173"/>
    </row>
    <row r="34" spans="2:20" ht="24.95" customHeight="1" x14ac:dyDescent="0.15">
      <c r="B34" s="110"/>
      <c r="C34" s="167" t="s">
        <v>589</v>
      </c>
      <c r="D34" s="129">
        <v>2186.37</v>
      </c>
      <c r="E34" s="129">
        <v>11500</v>
      </c>
      <c r="F34" s="129">
        <v>15800</v>
      </c>
      <c r="G34" s="129"/>
      <c r="H34" s="129"/>
      <c r="I34" s="129">
        <f>CS!J72</f>
        <v>0</v>
      </c>
      <c r="J34" s="129">
        <f>CS!K72</f>
        <v>0</v>
      </c>
      <c r="K34" s="129">
        <f>CS!L72</f>
        <v>0</v>
      </c>
      <c r="L34" s="129">
        <f>CS!M72</f>
        <v>0</v>
      </c>
      <c r="M34" s="129">
        <f>CS!N72</f>
        <v>0</v>
      </c>
      <c r="N34" s="173" t="s">
        <v>473</v>
      </c>
      <c r="O34" s="129"/>
      <c r="P34" s="129"/>
      <c r="Q34" s="129"/>
      <c r="R34" s="173" t="s">
        <v>473</v>
      </c>
      <c r="S34" s="180"/>
      <c r="T34" s="180"/>
    </row>
    <row r="35" spans="2:20" ht="24.95" customHeight="1" x14ac:dyDescent="0.15">
      <c r="B35" s="110"/>
      <c r="C35" s="167" t="s">
        <v>590</v>
      </c>
      <c r="D35" s="129">
        <v>8137.11</v>
      </c>
      <c r="E35" s="129">
        <v>4300.34</v>
      </c>
      <c r="F35" s="129">
        <v>873.98</v>
      </c>
      <c r="G35" s="129"/>
      <c r="H35" s="129"/>
      <c r="J35" s="129"/>
      <c r="K35" s="129"/>
      <c r="L35" s="129"/>
      <c r="M35" s="129"/>
      <c r="N35" s="173"/>
      <c r="O35" s="129"/>
      <c r="P35" s="129"/>
      <c r="Q35" s="129"/>
      <c r="R35" s="173"/>
      <c r="S35" s="180"/>
      <c r="T35" s="180"/>
    </row>
    <row r="36" spans="2:20" ht="24.95" customHeight="1" x14ac:dyDescent="0.15">
      <c r="B36" s="110"/>
      <c r="C36" s="167" t="s">
        <v>591</v>
      </c>
      <c r="D36" s="129">
        <v>37706.74</v>
      </c>
      <c r="E36" s="129">
        <v>53180.01</v>
      </c>
      <c r="F36" s="129">
        <v>88487.33</v>
      </c>
      <c r="G36" s="129">
        <v>89733.81</v>
      </c>
      <c r="H36" s="129">
        <v>133938.42000000001</v>
      </c>
      <c r="I36" s="129">
        <f>IS!I12/资产负债假设!J16</f>
        <v>170005.87023018094</v>
      </c>
      <c r="J36" s="129">
        <f>IS!J12/资产负债假设!K16</f>
        <v>204253.37368264547</v>
      </c>
      <c r="K36" s="129">
        <f>IS!K12/资产负债假设!L16</f>
        <v>253313.2769536633</v>
      </c>
      <c r="L36" s="129">
        <f>IS!L12/资产负债假设!M16</f>
        <v>323732.06255785818</v>
      </c>
      <c r="M36" s="129">
        <f>IS!M12/资产负债假设!N16</f>
        <v>430677.98270776815</v>
      </c>
      <c r="N36" s="173"/>
      <c r="O36" s="129"/>
      <c r="P36" s="129"/>
      <c r="Q36" s="129"/>
      <c r="R36" s="173"/>
    </row>
    <row r="37" spans="2:20" ht="24.95" customHeight="1" x14ac:dyDescent="0.15">
      <c r="B37" s="110"/>
      <c r="C37" s="167" t="s">
        <v>592</v>
      </c>
      <c r="D37" s="129">
        <v>1.02</v>
      </c>
      <c r="E37" s="129">
        <v>295.67</v>
      </c>
      <c r="F37" s="129">
        <v>2391.59</v>
      </c>
      <c r="G37" s="129">
        <v>987.02</v>
      </c>
      <c r="H37" s="129">
        <v>4970.1000000000004</v>
      </c>
      <c r="I37" s="179">
        <f>H37*(1+IS!I9-10%)</f>
        <v>5465.4149115614982</v>
      </c>
      <c r="J37" s="179">
        <f>I37*(1+IS!J9-10%)</f>
        <v>5663.6769224232585</v>
      </c>
      <c r="K37" s="179">
        <f>J37*(1+IS!K9-10%)</f>
        <v>6053.1188466527974</v>
      </c>
      <c r="L37" s="179">
        <f>K37*(1+IS!L9-10%)</f>
        <v>6643.85962966221</v>
      </c>
      <c r="M37" s="179">
        <f>L37*(1+IS!M9-10%)</f>
        <v>7573.2918171601259</v>
      </c>
      <c r="N37" s="173"/>
      <c r="O37" s="129"/>
      <c r="P37" s="129"/>
      <c r="Q37" s="129"/>
      <c r="R37" s="173"/>
    </row>
    <row r="38" spans="2:20" ht="24.6" customHeight="1" x14ac:dyDescent="0.15">
      <c r="B38" s="110"/>
      <c r="C38" s="167" t="s">
        <v>593</v>
      </c>
      <c r="D38" s="129">
        <v>694.52</v>
      </c>
      <c r="E38" s="129">
        <v>1583.9</v>
      </c>
      <c r="F38" s="129">
        <v>2824.45</v>
      </c>
      <c r="G38" s="129">
        <v>3585.8</v>
      </c>
      <c r="H38" s="129">
        <v>4559.9399999999996</v>
      </c>
      <c r="I38" s="179">
        <f>H38*(SUM(IS!I12:I15)-SUM(IS!I13:I13))/(SUM(IS!H12:H15)-SUM(IS!H13:H13))</f>
        <v>5467.1981229174144</v>
      </c>
      <c r="J38" s="179">
        <f>I38*(SUM(IS!J12:J15)-SUM(IS!J13:J13))/(SUM(IS!I12:I15)-SUM(IS!I13:I13))</f>
        <v>6191.9046344386361</v>
      </c>
      <c r="K38" s="179">
        <f>J38*(SUM(IS!K12:K15)-SUM(IS!K13:K13))/(SUM(IS!J12:J15)-SUM(IS!J13:J13))</f>
        <v>7212.9997591522479</v>
      </c>
      <c r="L38" s="179">
        <f>K38*(SUM(IS!L12:L15)-SUM(IS!L13:L13))/(SUM(IS!K12:K15)-SUM(IS!K13:K13))</f>
        <v>8620.3588571939636</v>
      </c>
      <c r="M38" s="179">
        <f>L38*(SUM(IS!M12:M15)-SUM(IS!M13:M13))/(SUM(IS!L12:L15)-SUM(IS!L13:L13))</f>
        <v>10673.021291036803</v>
      </c>
      <c r="N38" s="173"/>
      <c r="O38" s="129"/>
      <c r="P38" s="129"/>
      <c r="Q38" s="129"/>
      <c r="R38" s="173"/>
    </row>
    <row r="39" spans="2:20" ht="24.95" customHeight="1" x14ac:dyDescent="0.15">
      <c r="B39" s="110"/>
      <c r="C39" s="167" t="s">
        <v>594</v>
      </c>
      <c r="D39" s="129">
        <v>25.73</v>
      </c>
      <c r="E39" s="129">
        <v>65.33</v>
      </c>
      <c r="F39" s="129">
        <v>4339.3599999999997</v>
      </c>
      <c r="G39" s="129">
        <v>1158.21</v>
      </c>
      <c r="H39" s="129">
        <v>3321.25</v>
      </c>
      <c r="I39" s="179">
        <f>H39*(1+IS!I31)</f>
        <v>4037.4377842121712</v>
      </c>
      <c r="J39" s="179">
        <f>I39*(1+IS!J31)</f>
        <v>4731.1707784345863</v>
      </c>
      <c r="K39" s="179">
        <f>J39*(1+IS!K31)</f>
        <v>5679.5532569905536</v>
      </c>
      <c r="L39" s="179">
        <f>K39*(1+IS!L31)</f>
        <v>6837.8941363014346</v>
      </c>
      <c r="M39" s="179">
        <f>L39*(1+IS!M31)</f>
        <v>8418.333034750196</v>
      </c>
      <c r="N39" s="173"/>
      <c r="O39" s="129"/>
      <c r="P39" s="129"/>
      <c r="Q39" s="129"/>
      <c r="R39" s="173"/>
    </row>
    <row r="40" spans="2:20" ht="24.95" customHeight="1" x14ac:dyDescent="0.15">
      <c r="B40" s="110"/>
      <c r="C40" s="167" t="s">
        <v>595</v>
      </c>
      <c r="D40" s="129">
        <v>3339.66</v>
      </c>
      <c r="E40" s="129">
        <v>5809.35</v>
      </c>
      <c r="F40" s="129">
        <v>11846.64</v>
      </c>
      <c r="G40" s="129">
        <v>14343.28</v>
      </c>
      <c r="H40" s="129">
        <v>23165.13</v>
      </c>
      <c r="I40" s="179">
        <f>H40*SUM(IS!I12:I15)/SUM(IS!H12:H15)</f>
        <v>27750.60491317575</v>
      </c>
      <c r="J40" s="179">
        <f>I40*SUM(IS!J12:J15)/SUM(IS!I12:I15)</f>
        <v>31429.510397577527</v>
      </c>
      <c r="K40" s="179">
        <f>J40*SUM(IS!K12:K15)/SUM(IS!J12:J15)</f>
        <v>36612.977428690814</v>
      </c>
      <c r="L40" s="179">
        <f>K40*SUM(IS!L12:L15)/SUM(IS!K12:K15)</f>
        <v>43757.057269580837</v>
      </c>
      <c r="M40" s="179">
        <f>L40*SUM(IS!M12:M15)/SUM(IS!L12:L15)</f>
        <v>54176.713233840412</v>
      </c>
      <c r="N40" s="173"/>
      <c r="O40" s="129"/>
      <c r="P40" s="129"/>
      <c r="Q40" s="129"/>
      <c r="R40" s="173"/>
    </row>
    <row r="41" spans="2:20" ht="24.95" customHeight="1" x14ac:dyDescent="0.15">
      <c r="B41" s="110"/>
      <c r="C41" s="167" t="s">
        <v>596</v>
      </c>
      <c r="D41" s="129">
        <v>4.74</v>
      </c>
      <c r="E41" s="129">
        <v>4.74</v>
      </c>
      <c r="F41" s="129">
        <v>4.74</v>
      </c>
      <c r="G41" s="129">
        <v>129.16</v>
      </c>
      <c r="H41" s="129">
        <v>214.95</v>
      </c>
      <c r="I41" s="179">
        <f>H41*(IS!I9+1-10%)</f>
        <v>236.37168975275023</v>
      </c>
      <c r="J41" s="179">
        <f>I41*(IS!J9+1-10%)</f>
        <v>244.94624946678726</v>
      </c>
      <c r="K41" s="179">
        <f>J41*(IS!K9+1-10%)</f>
        <v>261.78907790346648</v>
      </c>
      <c r="L41" s="179">
        <f>K41*(IS!L9+1-10%)</f>
        <v>287.33780555640573</v>
      </c>
      <c r="M41" s="179">
        <f>L41*(IS!M9+1-10%)</f>
        <v>327.53447135843732</v>
      </c>
      <c r="N41" s="173"/>
      <c r="O41" s="129"/>
      <c r="P41" s="129"/>
      <c r="Q41" s="129"/>
      <c r="R41" s="173"/>
    </row>
    <row r="42" spans="2:20" ht="24.95" customHeight="1" x14ac:dyDescent="0.15">
      <c r="B42" s="110"/>
      <c r="C42" s="164" t="s">
        <v>597</v>
      </c>
      <c r="D42" s="165">
        <f>SUM(D34:D41)</f>
        <v>52095.889999999992</v>
      </c>
      <c r="E42" s="165">
        <f t="shared" ref="E42:M42" si="6">SUM(E34:E41)</f>
        <v>76739.340000000011</v>
      </c>
      <c r="F42" s="165">
        <f t="shared" si="6"/>
        <v>126568.09</v>
      </c>
      <c r="G42" s="165">
        <f t="shared" si="6"/>
        <v>109937.28000000001</v>
      </c>
      <c r="H42" s="165">
        <f t="shared" si="6"/>
        <v>170169.79000000004</v>
      </c>
      <c r="I42" s="165">
        <f t="shared" si="6"/>
        <v>212962.89765180054</v>
      </c>
      <c r="J42" s="165">
        <f t="shared" si="6"/>
        <v>252514.58266498626</v>
      </c>
      <c r="K42" s="165">
        <f t="shared" si="6"/>
        <v>309133.71532305324</v>
      </c>
      <c r="L42" s="165">
        <f t="shared" si="6"/>
        <v>389878.57025615301</v>
      </c>
      <c r="M42" s="165">
        <f t="shared" si="6"/>
        <v>511846.87655591418</v>
      </c>
      <c r="N42" s="178"/>
      <c r="O42" s="165">
        <f>SUM(O34:O34)</f>
        <v>0</v>
      </c>
      <c r="P42" s="165">
        <f>SUM(P34:P34)</f>
        <v>0</v>
      </c>
      <c r="Q42" s="165">
        <f>SUM(Q34:Q34)</f>
        <v>0</v>
      </c>
      <c r="R42" s="173"/>
    </row>
    <row r="43" spans="2:20" ht="24.95" customHeight="1" x14ac:dyDescent="0.15">
      <c r="B43" s="110"/>
      <c r="C43" s="167" t="s">
        <v>598</v>
      </c>
      <c r="D43" s="129"/>
      <c r="E43" s="129"/>
      <c r="F43" s="129">
        <v>25400</v>
      </c>
      <c r="G43" s="129">
        <v>25400</v>
      </c>
      <c r="H43" s="129">
        <v>25000</v>
      </c>
      <c r="I43" s="129">
        <f>CS!J61</f>
        <v>28283.092551565489</v>
      </c>
      <c r="J43" s="129">
        <f>CS!K61</f>
        <v>50470.560895064918</v>
      </c>
      <c r="K43" s="129">
        <f>CS!L61</f>
        <v>63213.32540404817</v>
      </c>
      <c r="L43" s="129">
        <f>CS!M61</f>
        <v>64853.120134279132</v>
      </c>
      <c r="M43" s="129">
        <f>CS!N61</f>
        <v>66857.560795793222</v>
      </c>
      <c r="N43" s="173"/>
      <c r="O43" s="129"/>
      <c r="P43" s="129"/>
      <c r="Q43" s="129"/>
      <c r="R43" s="173"/>
    </row>
    <row r="44" spans="2:20" ht="24.95" customHeight="1" x14ac:dyDescent="0.15">
      <c r="B44" s="110"/>
      <c r="C44" s="167" t="s">
        <v>599</v>
      </c>
      <c r="D44" s="129">
        <v>17.600000000000001</v>
      </c>
      <c r="E44" s="129">
        <v>29.7</v>
      </c>
      <c r="F44" s="129">
        <v>82.48</v>
      </c>
      <c r="G44" s="129">
        <v>175.97</v>
      </c>
      <c r="H44" s="129">
        <v>199.13</v>
      </c>
      <c r="I44" s="179">
        <f>H44*(1+IS!I9-10%)</f>
        <v>218.97508527780951</v>
      </c>
      <c r="J44" s="179">
        <f>I44*(1+IS!J9-10%)</f>
        <v>226.91857016199742</v>
      </c>
      <c r="K44" s="179">
        <f>J44*(1+IS!K9-10%)</f>
        <v>242.52179149996408</v>
      </c>
      <c r="L44" s="179">
        <f>K44*(1+IS!L9-10%)</f>
        <v>266.19017083250554</v>
      </c>
      <c r="M44" s="179">
        <f>L44*(1+IS!M9-10%)</f>
        <v>303.42842187301983</v>
      </c>
      <c r="N44" s="173"/>
      <c r="O44" s="129"/>
      <c r="P44" s="129"/>
      <c r="Q44" s="129"/>
      <c r="R44" s="173"/>
    </row>
    <row r="45" spans="2:20" ht="24.95" customHeight="1" x14ac:dyDescent="0.15">
      <c r="B45" s="110"/>
      <c r="C45" s="167" t="s">
        <v>600</v>
      </c>
      <c r="D45" s="129">
        <v>219.23</v>
      </c>
      <c r="E45" s="129">
        <v>524.48</v>
      </c>
      <c r="F45" s="129">
        <v>563.74</v>
      </c>
      <c r="G45" s="129">
        <v>1914.59</v>
      </c>
      <c r="H45" s="129">
        <v>3102.58</v>
      </c>
      <c r="I45" s="179">
        <f>H45*(1+IS!I9)</f>
        <v>3722.0378427219716</v>
      </c>
      <c r="J45" s="179">
        <f>I45*(1+IS!J9)</f>
        <v>4229.2613316538464</v>
      </c>
      <c r="K45" s="179">
        <f>J45*(1+IS!K9)</f>
        <v>4942.9970737762605</v>
      </c>
      <c r="L45" s="179">
        <f>K45*(1+IS!L9)</f>
        <v>5919.6976782369702</v>
      </c>
      <c r="M45" s="179">
        <f>L45*(1+IS!M9)</f>
        <v>7339.794147872075</v>
      </c>
      <c r="N45" s="173"/>
      <c r="O45" s="129"/>
      <c r="P45" s="129"/>
      <c r="Q45" s="129"/>
      <c r="R45" s="173"/>
    </row>
    <row r="46" spans="2:20" ht="24.95" customHeight="1" x14ac:dyDescent="0.15">
      <c r="B46" s="110"/>
      <c r="C46" s="164" t="s">
        <v>601</v>
      </c>
      <c r="D46" s="165">
        <f>SUM(D43:D45)</f>
        <v>236.82999999999998</v>
      </c>
      <c r="E46" s="165">
        <f t="shared" ref="E46:I46" si="7">SUM(E43:E45)</f>
        <v>554.18000000000006</v>
      </c>
      <c r="F46" s="165">
        <f t="shared" si="7"/>
        <v>26046.22</v>
      </c>
      <c r="G46" s="165">
        <f t="shared" si="7"/>
        <v>27490.560000000001</v>
      </c>
      <c r="H46" s="165">
        <f t="shared" si="7"/>
        <v>28301.71</v>
      </c>
      <c r="I46" s="165">
        <f t="shared" si="7"/>
        <v>32224.105479565271</v>
      </c>
      <c r="J46" s="165">
        <f t="shared" ref="J46:M46" si="8">SUM(J43:J45)</f>
        <v>54926.740796880767</v>
      </c>
      <c r="K46" s="165">
        <f t="shared" si="8"/>
        <v>68398.8442693244</v>
      </c>
      <c r="L46" s="165">
        <f t="shared" si="8"/>
        <v>71039.007983348609</v>
      </c>
      <c r="M46" s="165">
        <f t="shared" si="8"/>
        <v>74500.783365538315</v>
      </c>
      <c r="N46" s="178"/>
      <c r="O46" s="165">
        <f>SUM(O43:O43)</f>
        <v>0</v>
      </c>
      <c r="P46" s="165">
        <f>SUM(P43:P43)</f>
        <v>0</v>
      </c>
      <c r="Q46" s="165">
        <f>SUM(Q43:Q43)</f>
        <v>0</v>
      </c>
      <c r="R46" s="173"/>
    </row>
    <row r="47" spans="2:20" ht="24.95" customHeight="1" x14ac:dyDescent="0.15">
      <c r="B47" s="110"/>
      <c r="C47" s="164" t="s">
        <v>602</v>
      </c>
      <c r="D47" s="165">
        <f t="shared" ref="D47:I47" si="9">D46+D42</f>
        <v>52332.719999999994</v>
      </c>
      <c r="E47" s="165">
        <f t="shared" si="9"/>
        <v>77293.52</v>
      </c>
      <c r="F47" s="165">
        <f t="shared" si="9"/>
        <v>152614.31</v>
      </c>
      <c r="G47" s="165">
        <f t="shared" si="9"/>
        <v>137427.84000000003</v>
      </c>
      <c r="H47" s="165">
        <f t="shared" si="9"/>
        <v>198471.50000000003</v>
      </c>
      <c r="I47" s="165">
        <f t="shared" si="9"/>
        <v>245187.00313136581</v>
      </c>
      <c r="J47" s="165">
        <f t="shared" ref="J47" si="10">J46+J42</f>
        <v>307441.32346186705</v>
      </c>
      <c r="K47" s="165">
        <f t="shared" ref="K47" si="11">K46+K42</f>
        <v>377532.55959237763</v>
      </c>
      <c r="L47" s="165">
        <f t="shared" ref="L47" si="12">L46+L42</f>
        <v>460917.57823950163</v>
      </c>
      <c r="M47" s="165">
        <f t="shared" ref="M47" si="13">M46+M42</f>
        <v>586347.65992145252</v>
      </c>
      <c r="N47" s="178"/>
      <c r="O47" s="165">
        <f>O46+O42</f>
        <v>0</v>
      </c>
      <c r="P47" s="165">
        <f>P46+P42</f>
        <v>0</v>
      </c>
      <c r="Q47" s="165">
        <f>Q46+Q42</f>
        <v>0</v>
      </c>
      <c r="R47" s="173"/>
    </row>
    <row r="48" spans="2:20" ht="24.95" customHeight="1" x14ac:dyDescent="0.15">
      <c r="B48" s="110"/>
      <c r="C48" s="164" t="s">
        <v>603</v>
      </c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78"/>
      <c r="O48" s="165"/>
      <c r="P48" s="165"/>
      <c r="Q48" s="165"/>
      <c r="R48" s="173"/>
    </row>
    <row r="49" spans="2:18" ht="24.95" customHeight="1" x14ac:dyDescent="0.15">
      <c r="B49" s="110"/>
      <c r="C49" s="167" t="s">
        <v>604</v>
      </c>
      <c r="D49" s="129">
        <v>5000</v>
      </c>
      <c r="E49" s="129">
        <v>30000</v>
      </c>
      <c r="F49" s="129">
        <v>30600</v>
      </c>
      <c r="G49" s="129">
        <v>36000</v>
      </c>
      <c r="H49" s="129">
        <v>36000</v>
      </c>
      <c r="I49" s="129">
        <f>资产负债假设!J25</f>
        <v>40100</v>
      </c>
      <c r="J49" s="129">
        <f>资产负债假设!K25</f>
        <v>40100</v>
      </c>
      <c r="K49" s="129">
        <f>资产负债假设!L25</f>
        <v>40100</v>
      </c>
      <c r="L49" s="129">
        <f>资产负债假设!M25</f>
        <v>40100</v>
      </c>
      <c r="M49" s="129">
        <f>资产负债假设!N25</f>
        <v>40100</v>
      </c>
      <c r="N49" s="173"/>
      <c r="O49" s="129"/>
      <c r="P49" s="129"/>
      <c r="Q49" s="129"/>
      <c r="R49" s="173"/>
    </row>
    <row r="50" spans="2:18" ht="24.95" customHeight="1" collapsed="1" x14ac:dyDescent="0.15">
      <c r="B50" s="110"/>
      <c r="C50" s="169" t="s">
        <v>605</v>
      </c>
      <c r="D50" s="129">
        <f>SUM(D51:D55)</f>
        <v>7862.87</v>
      </c>
      <c r="E50" s="129">
        <f>SUM(E51:E55)</f>
        <v>360.25</v>
      </c>
      <c r="F50" s="129">
        <f>SUM(F51:F55)</f>
        <v>29990.27</v>
      </c>
      <c r="G50" s="129">
        <f>SUM(G51:G55)</f>
        <v>44791.92</v>
      </c>
      <c r="H50" s="129">
        <f>SUM(H51:H55)</f>
        <v>75177.899999999994</v>
      </c>
      <c r="I50" s="79">
        <f>资产负债假设!J40</f>
        <v>167873.44324390526</v>
      </c>
      <c r="J50" s="79">
        <f>资产负债假设!K40</f>
        <v>210771.07984479744</v>
      </c>
      <c r="K50" s="79">
        <f>资产负债假设!L40</f>
        <v>262267.72265979386</v>
      </c>
      <c r="L50" s="79">
        <f>资产负债假设!M40</f>
        <v>305667.26540680911</v>
      </c>
      <c r="M50" s="79">
        <f>资产负债假设!N40</f>
        <v>359097.72178966674</v>
      </c>
      <c r="N50" s="173"/>
      <c r="O50" s="129"/>
      <c r="P50" s="129"/>
      <c r="Q50" s="129"/>
      <c r="R50" s="173"/>
    </row>
    <row r="51" spans="2:18" ht="24.95" hidden="1" customHeight="1" outlineLevel="1" x14ac:dyDescent="0.15">
      <c r="B51" s="110"/>
      <c r="C51" s="167" t="s">
        <v>606</v>
      </c>
      <c r="D51" s="129"/>
      <c r="E51" s="129"/>
      <c r="F51" s="129"/>
      <c r="G51" s="129"/>
      <c r="H51" s="129"/>
      <c r="I51" s="79"/>
      <c r="J51" s="129"/>
      <c r="K51" s="129"/>
      <c r="L51" s="129"/>
      <c r="M51" s="129"/>
      <c r="N51" s="173"/>
      <c r="O51" s="129"/>
      <c r="P51" s="129"/>
      <c r="Q51" s="129"/>
      <c r="R51" s="173"/>
    </row>
    <row r="52" spans="2:18" ht="24.95" hidden="1" customHeight="1" outlineLevel="1" x14ac:dyDescent="0.15">
      <c r="B52" s="110"/>
      <c r="C52" s="167" t="s">
        <v>607</v>
      </c>
      <c r="D52" s="129">
        <v>9874.99</v>
      </c>
      <c r="E52" s="129">
        <v>3134.37</v>
      </c>
      <c r="F52" s="129">
        <v>10414.370000000001</v>
      </c>
      <c r="G52" s="129">
        <v>5014.37</v>
      </c>
      <c r="H52" s="129">
        <v>5014.37</v>
      </c>
      <c r="I52" s="79"/>
      <c r="J52" s="129"/>
      <c r="K52" s="129"/>
      <c r="L52" s="129"/>
      <c r="M52" s="129"/>
      <c r="N52" s="173"/>
      <c r="O52" s="129"/>
      <c r="P52" s="129"/>
      <c r="Q52" s="129"/>
      <c r="R52" s="173"/>
    </row>
    <row r="53" spans="2:18" ht="24.95" hidden="1" customHeight="1" outlineLevel="1" x14ac:dyDescent="0.15">
      <c r="B53" s="110"/>
      <c r="C53" s="167" t="s">
        <v>608</v>
      </c>
      <c r="D53" s="129"/>
      <c r="E53" s="129"/>
      <c r="F53" s="129">
        <v>1974.78</v>
      </c>
      <c r="G53" s="129">
        <v>4901.79</v>
      </c>
      <c r="H53" s="129">
        <v>7699.46</v>
      </c>
      <c r="I53" s="79"/>
      <c r="J53" s="129"/>
      <c r="K53" s="129"/>
      <c r="L53" s="129"/>
      <c r="M53" s="129"/>
      <c r="N53" s="173"/>
      <c r="O53" s="129"/>
      <c r="P53" s="129"/>
      <c r="Q53" s="129"/>
      <c r="R53" s="173"/>
    </row>
    <row r="54" spans="2:18" ht="24.95" hidden="1" customHeight="1" outlineLevel="1" x14ac:dyDescent="0.15">
      <c r="B54" s="110"/>
      <c r="C54" s="167" t="s">
        <v>609</v>
      </c>
      <c r="D54" s="129"/>
      <c r="E54" s="129"/>
      <c r="F54" s="129"/>
      <c r="G54" s="129"/>
      <c r="H54" s="129"/>
      <c r="I54" s="79"/>
      <c r="J54" s="129"/>
      <c r="K54" s="129"/>
      <c r="L54" s="129"/>
      <c r="M54" s="129"/>
      <c r="N54" s="173"/>
      <c r="O54" s="129"/>
      <c r="P54" s="129"/>
      <c r="Q54" s="129"/>
      <c r="R54" s="173"/>
    </row>
    <row r="55" spans="2:18" ht="24.95" hidden="1" customHeight="1" outlineLevel="1" x14ac:dyDescent="0.15">
      <c r="B55" s="110"/>
      <c r="C55" s="167" t="s">
        <v>610</v>
      </c>
      <c r="D55" s="129">
        <v>-2012.12</v>
      </c>
      <c r="E55" s="129">
        <v>-2774.12</v>
      </c>
      <c r="F55" s="129">
        <v>17601.12</v>
      </c>
      <c r="G55" s="129">
        <v>34875.760000000002</v>
      </c>
      <c r="H55" s="129">
        <v>62464.07</v>
      </c>
      <c r="I55" s="79"/>
      <c r="J55" s="129"/>
      <c r="K55" s="129"/>
      <c r="L55" s="129"/>
      <c r="M55" s="129"/>
      <c r="N55" s="173"/>
      <c r="O55" s="129"/>
      <c r="P55" s="129"/>
      <c r="Q55" s="129"/>
      <c r="R55" s="173"/>
    </row>
    <row r="56" spans="2:18" ht="24.95" customHeight="1" x14ac:dyDescent="0.15">
      <c r="B56" s="110"/>
      <c r="C56" s="167" t="s">
        <v>611</v>
      </c>
      <c r="D56" s="129"/>
      <c r="E56" s="129"/>
      <c r="F56" s="129"/>
      <c r="G56" s="129"/>
      <c r="H56" s="129"/>
      <c r="I56" s="129">
        <f>H56+IS!I38</f>
        <v>0</v>
      </c>
      <c r="J56" s="129">
        <f>I56+IS!J38</f>
        <v>0</v>
      </c>
      <c r="K56" s="129">
        <f>J56+IS!K38</f>
        <v>0</v>
      </c>
      <c r="L56" s="129">
        <f>K56+IS!L38</f>
        <v>0</v>
      </c>
      <c r="M56" s="129">
        <f>L56+IS!M38</f>
        <v>0</v>
      </c>
      <c r="N56" s="173"/>
      <c r="O56" s="129"/>
      <c r="P56" s="129"/>
      <c r="Q56" s="129"/>
      <c r="R56" s="173"/>
    </row>
    <row r="57" spans="2:18" ht="24.95" customHeight="1" x14ac:dyDescent="0.15">
      <c r="B57" s="110"/>
      <c r="C57" s="164" t="s">
        <v>612</v>
      </c>
      <c r="D57" s="165">
        <f t="shared" ref="D57:I57" si="14">D49+D50+D56</f>
        <v>12862.869999999999</v>
      </c>
      <c r="E57" s="165">
        <f t="shared" si="14"/>
        <v>30360.25</v>
      </c>
      <c r="F57" s="165">
        <f t="shared" si="14"/>
        <v>60590.270000000004</v>
      </c>
      <c r="G57" s="165">
        <f t="shared" si="14"/>
        <v>80791.92</v>
      </c>
      <c r="H57" s="165">
        <f t="shared" si="14"/>
        <v>111177.9</v>
      </c>
      <c r="I57" s="165">
        <f t="shared" si="14"/>
        <v>207973.44324390526</v>
      </c>
      <c r="J57" s="165">
        <f t="shared" ref="J57" si="15">J49+J50+J56</f>
        <v>250871.07984479744</v>
      </c>
      <c r="K57" s="165">
        <f t="shared" ref="K57" si="16">K49+K50+K56</f>
        <v>302367.72265979386</v>
      </c>
      <c r="L57" s="165">
        <f t="shared" ref="L57" si="17">L49+L50+L56</f>
        <v>345767.26540680911</v>
      </c>
      <c r="M57" s="165">
        <f t="shared" ref="M57" si="18">M49+M50+M56</f>
        <v>399197.72178966674</v>
      </c>
      <c r="N57" s="178" t="s">
        <v>473</v>
      </c>
      <c r="O57" s="165"/>
      <c r="P57" s="165"/>
      <c r="Q57" s="165"/>
      <c r="R57" s="173" t="s">
        <v>473</v>
      </c>
    </row>
    <row r="58" spans="2:18" ht="24.95" customHeight="1" x14ac:dyDescent="0.15">
      <c r="B58" s="110"/>
      <c r="C58" s="164" t="s">
        <v>613</v>
      </c>
      <c r="D58" s="165">
        <f t="shared" ref="D58:I58" si="19">D47+D57</f>
        <v>65195.59</v>
      </c>
      <c r="E58" s="165">
        <f t="shared" si="19"/>
        <v>107653.77</v>
      </c>
      <c r="F58" s="165">
        <f t="shared" si="19"/>
        <v>213204.58000000002</v>
      </c>
      <c r="G58" s="165">
        <f t="shared" si="19"/>
        <v>218219.76</v>
      </c>
      <c r="H58" s="165">
        <f t="shared" si="19"/>
        <v>309649.40000000002</v>
      </c>
      <c r="I58" s="165">
        <f t="shared" si="19"/>
        <v>453160.44637527107</v>
      </c>
      <c r="J58" s="165">
        <f t="shared" ref="J58" si="20">J47+J57</f>
        <v>558312.40330666443</v>
      </c>
      <c r="K58" s="165">
        <f t="shared" ref="K58" si="21">K47+K57</f>
        <v>679900.28225217154</v>
      </c>
      <c r="L58" s="165">
        <f t="shared" ref="L58" si="22">L47+L57</f>
        <v>806684.84364631074</v>
      </c>
      <c r="M58" s="165">
        <f t="shared" ref="M58" si="23">M47+M57</f>
        <v>985545.38171111932</v>
      </c>
      <c r="N58" s="178" t="s">
        <v>473</v>
      </c>
      <c r="O58" s="165"/>
      <c r="P58" s="165"/>
      <c r="Q58" s="165"/>
      <c r="R58" s="173" t="s">
        <v>473</v>
      </c>
    </row>
    <row r="59" spans="2:18" ht="24.95" customHeight="1" x14ac:dyDescent="0.15">
      <c r="B59" s="110"/>
      <c r="C59" s="167" t="s">
        <v>614</v>
      </c>
      <c r="D59" s="129">
        <f>D58-D32</f>
        <v>1.0000000002037268E-2</v>
      </c>
      <c r="E59" s="129">
        <f t="shared" ref="E59:H59" si="24">E58-E32</f>
        <v>-9.9999999947613105E-3</v>
      </c>
      <c r="F59" s="129">
        <f t="shared" si="24"/>
        <v>0</v>
      </c>
      <c r="G59" s="129">
        <f t="shared" si="24"/>
        <v>1.0000000009313226E-2</v>
      </c>
      <c r="H59" s="129">
        <f t="shared" si="24"/>
        <v>-1.9999999960418791E-2</v>
      </c>
      <c r="I59" s="129">
        <f t="shared" ref="I59" si="25">I58-I32</f>
        <v>0</v>
      </c>
      <c r="J59" s="129">
        <f t="shared" ref="J59:M59" si="26">J58-J32</f>
        <v>0</v>
      </c>
      <c r="K59" s="129">
        <f t="shared" si="26"/>
        <v>0</v>
      </c>
      <c r="L59" s="129">
        <f t="shared" si="26"/>
        <v>0</v>
      </c>
      <c r="M59" s="129">
        <f t="shared" si="26"/>
        <v>0</v>
      </c>
      <c r="N59" s="173"/>
      <c r="O59" s="129">
        <f>O58-O32</f>
        <v>0</v>
      </c>
      <c r="P59" s="129">
        <f>P58-P32</f>
        <v>0</v>
      </c>
      <c r="Q59" s="129">
        <f>Q58-Q32</f>
        <v>0</v>
      </c>
      <c r="R59" s="173"/>
    </row>
    <row r="60" spans="2:18" ht="24.95" customHeight="1" x14ac:dyDescent="0.15">
      <c r="B60" s="110"/>
      <c r="C60" s="396"/>
      <c r="D60" s="397"/>
      <c r="E60" s="397"/>
      <c r="F60" s="397"/>
      <c r="G60" s="397"/>
      <c r="H60" s="397"/>
      <c r="I60" s="397"/>
      <c r="J60" s="397"/>
      <c r="K60" s="397"/>
      <c r="L60" s="397"/>
      <c r="M60" s="398"/>
      <c r="N60" s="173"/>
      <c r="O60" s="129"/>
      <c r="P60" s="129"/>
      <c r="Q60" s="129"/>
      <c r="R60" s="173"/>
    </row>
    <row r="61" spans="2:18" ht="24.95" customHeight="1" x14ac:dyDescent="0.15">
      <c r="B61" s="110"/>
      <c r="C61" s="399"/>
      <c r="D61" s="400"/>
      <c r="E61" s="400"/>
      <c r="F61" s="400"/>
      <c r="G61" s="400"/>
      <c r="H61" s="400"/>
      <c r="I61" s="400"/>
      <c r="J61" s="400"/>
      <c r="K61" s="400"/>
      <c r="L61" s="400"/>
      <c r="M61" s="401"/>
      <c r="N61" s="173"/>
      <c r="O61" s="129"/>
      <c r="P61" s="129"/>
      <c r="Q61" s="129"/>
      <c r="R61" s="173"/>
    </row>
    <row r="62" spans="2:18" ht="24.95" customHeight="1" x14ac:dyDescent="0.15">
      <c r="B62" s="110"/>
      <c r="C62" s="78" t="s">
        <v>615</v>
      </c>
      <c r="D62" s="171">
        <f>(D18-D8)-(D42-D34)</f>
        <v>-5157.0699999999924</v>
      </c>
      <c r="E62" s="171">
        <f t="shared" ref="E62:M62" si="27">(E18-E8)-(E42-E34)</f>
        <v>17007.059999999983</v>
      </c>
      <c r="F62" s="171">
        <f t="shared" si="27"/>
        <v>36720.78</v>
      </c>
      <c r="G62" s="171">
        <f t="shared" si="27"/>
        <v>27145.58</v>
      </c>
      <c r="H62" s="171">
        <f t="shared" si="27"/>
        <v>-4021.2900000000373</v>
      </c>
      <c r="I62" s="171">
        <f t="shared" si="27"/>
        <v>-30258.566721230396</v>
      </c>
      <c r="J62" s="171">
        <f t="shared" si="27"/>
        <v>-57231.891902009724</v>
      </c>
      <c r="K62" s="171">
        <f t="shared" si="27"/>
        <v>-90435.716820720816</v>
      </c>
      <c r="L62" s="171">
        <f t="shared" si="27"/>
        <v>-138255.77797105239</v>
      </c>
      <c r="M62" s="171">
        <f t="shared" si="27"/>
        <v>-207163.7952198906</v>
      </c>
      <c r="N62" s="173"/>
      <c r="O62" s="171">
        <f>(O18-O8)-(O42-O34)</f>
        <v>0</v>
      </c>
      <c r="P62" s="171">
        <f>(P18-P8)-(P42-P34)</f>
        <v>0</v>
      </c>
      <c r="Q62" s="171">
        <f>(Q18-Q8)-(Q42-Q34)</f>
        <v>0</v>
      </c>
      <c r="R62" s="173"/>
    </row>
    <row r="63" spans="2:18" ht="24.95" customHeight="1" x14ac:dyDescent="0.15">
      <c r="B63" s="110"/>
      <c r="C63" s="78" t="s">
        <v>616</v>
      </c>
      <c r="D63" s="172">
        <f>D47/D58</f>
        <v>0.80270337303489392</v>
      </c>
      <c r="E63" s="172">
        <f t="shared" ref="E63:I63" si="28">E47/E58</f>
        <v>0.71798247288506478</v>
      </c>
      <c r="F63" s="172">
        <f t="shared" si="28"/>
        <v>0.71581159279036122</v>
      </c>
      <c r="G63" s="172">
        <f t="shared" si="28"/>
        <v>0.62976808333030898</v>
      </c>
      <c r="H63" s="172">
        <f t="shared" si="28"/>
        <v>0.6409555452069341</v>
      </c>
      <c r="I63" s="172">
        <f t="shared" si="28"/>
        <v>0.54106002651502738</v>
      </c>
      <c r="J63" s="172">
        <f t="shared" ref="J63:M63" si="29">J47/J58</f>
        <v>0.55066181879717024</v>
      </c>
      <c r="K63" s="172">
        <f t="shared" si="29"/>
        <v>0.55527636838419892</v>
      </c>
      <c r="L63" s="172">
        <f t="shared" si="29"/>
        <v>0.57137255257716235</v>
      </c>
      <c r="M63" s="172">
        <f t="shared" si="29"/>
        <v>0.59494739745360736</v>
      </c>
      <c r="N63" s="173"/>
      <c r="O63" s="172" t="e">
        <f>O47/O58</f>
        <v>#DIV/0!</v>
      </c>
      <c r="P63" s="172" t="e">
        <f>P47/P58</f>
        <v>#DIV/0!</v>
      </c>
      <c r="Q63" s="172" t="e">
        <f>Q47/Q58</f>
        <v>#DIV/0!</v>
      </c>
      <c r="R63" s="173"/>
    </row>
    <row r="64" spans="2:18" ht="6" customHeight="1" x14ac:dyDescent="0.15">
      <c r="B64" s="110"/>
      <c r="C64" s="75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</row>
    <row r="65" spans="4:18" x14ac:dyDescent="0.15"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</row>
    <row r="66" spans="4:18" x14ac:dyDescent="0.15"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</row>
    <row r="67" spans="4:18" x14ac:dyDescent="0.15"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>
        <f t="shared" ref="N67:Q67" si="30">N59-M59</f>
        <v>0</v>
      </c>
      <c r="O67" s="174">
        <f t="shared" si="30"/>
        <v>0</v>
      </c>
      <c r="P67" s="174">
        <f t="shared" si="30"/>
        <v>0</v>
      </c>
      <c r="Q67" s="174">
        <f t="shared" si="30"/>
        <v>0</v>
      </c>
      <c r="R67" s="174"/>
    </row>
    <row r="69" spans="4:18" x14ac:dyDescent="0.15">
      <c r="D69" s="181"/>
      <c r="E69" s="181"/>
      <c r="F69" s="181"/>
      <c r="G69" s="181"/>
      <c r="H69" s="181"/>
      <c r="I69" s="181"/>
      <c r="O69" s="181"/>
      <c r="P69" s="181"/>
      <c r="Q69" s="181"/>
    </row>
  </sheetData>
  <mergeCells count="2">
    <mergeCell ref="C60:M60"/>
    <mergeCell ref="C61:M61"/>
  </mergeCells>
  <phoneticPr fontId="52" type="noConversion"/>
  <pageMargins left="0.7" right="0.7" top="0.75" bottom="0.75" header="0.3" footer="0.3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1454817346722"/>
  </sheetPr>
  <dimension ref="B1:T82"/>
  <sheetViews>
    <sheetView showGridLines="0" zoomScale="85" zoomScaleNormal="85" workbookViewId="0">
      <pane xSplit="4" ySplit="6" topLeftCell="E73" activePane="bottomRight" state="frozen"/>
      <selection pane="topRight"/>
      <selection pane="bottomLeft"/>
      <selection pane="bottomRight" activeCell="L85" sqref="L85"/>
    </sheetView>
  </sheetViews>
  <sheetFormatPr defaultColWidth="8.875" defaultRowHeight="13.5" x14ac:dyDescent="0.15"/>
  <cols>
    <col min="1" max="1" width="4.125" style="118" customWidth="1"/>
    <col min="2" max="2" width="0.875" style="119" customWidth="1"/>
    <col min="3" max="3" width="8.875" style="119"/>
    <col min="4" max="4" width="37.125" style="119" customWidth="1"/>
    <col min="5" max="14" width="13.875" style="118" customWidth="1"/>
    <col min="15" max="15" width="0.5" style="118" hidden="1" customWidth="1"/>
    <col min="16" max="16" width="14.625" style="118" hidden="1" customWidth="1"/>
    <col min="17" max="17" width="13.875" style="118" hidden="1" customWidth="1"/>
    <col min="18" max="18" width="13.25" style="118" hidden="1" customWidth="1"/>
    <col min="19" max="19" width="0.875" style="118" customWidth="1"/>
    <col min="20" max="16384" width="8.875" style="118"/>
  </cols>
  <sheetData>
    <row r="1" spans="2:20" s="114" customFormat="1" ht="12" customHeight="1" x14ac:dyDescent="0.15">
      <c r="B1" s="120"/>
      <c r="C1" s="120"/>
      <c r="D1" s="120"/>
    </row>
    <row r="2" spans="2:20" s="115" customFormat="1" ht="12" customHeight="1" x14ac:dyDescent="0.15">
      <c r="C2" s="121"/>
      <c r="J2" s="5"/>
    </row>
    <row r="3" spans="2:20" s="115" customFormat="1" ht="12" customHeight="1" x14ac:dyDescent="0.15">
      <c r="C3" s="122"/>
      <c r="D3" s="123"/>
      <c r="E3" s="123"/>
      <c r="F3" s="123"/>
      <c r="G3" s="123"/>
      <c r="H3" s="123"/>
      <c r="I3" s="123"/>
      <c r="J3" s="123"/>
      <c r="K3" s="138"/>
      <c r="L3" s="138"/>
      <c r="M3" s="138"/>
      <c r="N3" s="139"/>
      <c r="O3" s="138"/>
      <c r="P3" s="123"/>
      <c r="Q3" s="123"/>
      <c r="R3" s="123"/>
      <c r="S3" s="138"/>
      <c r="T3" s="138"/>
    </row>
    <row r="4" spans="2:20" s="116" customFormat="1" ht="15.6" customHeight="1" x14ac:dyDescent="0.15">
      <c r="C4" s="124"/>
      <c r="D4" s="125"/>
      <c r="E4" s="125"/>
      <c r="F4" s="125"/>
      <c r="G4" s="125"/>
      <c r="H4" s="125"/>
      <c r="I4" s="125"/>
      <c r="J4" s="125"/>
      <c r="K4" s="140"/>
      <c r="L4" s="140"/>
      <c r="M4" s="140"/>
      <c r="N4" s="140"/>
      <c r="O4" s="140"/>
      <c r="P4" s="125"/>
      <c r="Q4" s="125"/>
      <c r="R4" s="125"/>
      <c r="S4" s="140"/>
      <c r="T4" s="140"/>
    </row>
    <row r="5" spans="2:20" s="116" customFormat="1" ht="6" customHeight="1" x14ac:dyDescent="0.15">
      <c r="B5" s="115"/>
      <c r="C5" s="122"/>
      <c r="D5" s="123"/>
      <c r="E5" s="123"/>
      <c r="F5" s="123"/>
      <c r="G5" s="123"/>
      <c r="H5" s="123"/>
      <c r="I5" s="123"/>
      <c r="J5" s="123"/>
      <c r="K5" s="138"/>
      <c r="L5" s="138"/>
      <c r="M5" s="138"/>
      <c r="N5" s="138"/>
      <c r="O5" s="138"/>
      <c r="P5" s="123"/>
      <c r="Q5" s="123"/>
      <c r="R5" s="123"/>
      <c r="S5" s="138"/>
      <c r="T5" s="140"/>
    </row>
    <row r="6" spans="2:20" s="117" customFormat="1" ht="24.95" customHeight="1" x14ac:dyDescent="0.15">
      <c r="B6" s="120"/>
      <c r="C6" s="76" t="s">
        <v>519</v>
      </c>
      <c r="D6" s="76"/>
      <c r="E6" s="126">
        <v>2014</v>
      </c>
      <c r="F6" s="126">
        <v>2015</v>
      </c>
      <c r="G6" s="126">
        <v>2016</v>
      </c>
      <c r="H6" s="126">
        <v>2017</v>
      </c>
      <c r="I6" s="126">
        <v>2018</v>
      </c>
      <c r="J6" s="141" t="s">
        <v>28</v>
      </c>
      <c r="K6" s="141" t="s">
        <v>29</v>
      </c>
      <c r="L6" s="141" t="s">
        <v>30</v>
      </c>
      <c r="M6" s="141" t="s">
        <v>31</v>
      </c>
      <c r="N6" s="141" t="s">
        <v>32</v>
      </c>
      <c r="O6" s="142"/>
      <c r="P6" s="143" t="s">
        <v>562</v>
      </c>
      <c r="Q6" s="143" t="s">
        <v>563</v>
      </c>
      <c r="R6" s="143" t="s">
        <v>564</v>
      </c>
      <c r="S6" s="142"/>
    </row>
    <row r="7" spans="2:20" ht="24.95" customHeight="1" x14ac:dyDescent="0.15">
      <c r="B7" s="120"/>
      <c r="C7" s="127" t="s">
        <v>617</v>
      </c>
      <c r="D7" s="128"/>
      <c r="E7" s="128"/>
      <c r="F7" s="128"/>
      <c r="G7" s="128"/>
      <c r="H7" s="128"/>
      <c r="I7" s="128"/>
      <c r="J7" s="144"/>
      <c r="K7" s="144"/>
      <c r="L7" s="144"/>
      <c r="M7" s="144"/>
      <c r="N7" s="144"/>
      <c r="O7" s="142"/>
      <c r="P7" s="128"/>
      <c r="Q7" s="128"/>
      <c r="R7" s="128"/>
      <c r="S7" s="142"/>
    </row>
    <row r="8" spans="2:20" ht="24.95" customHeight="1" x14ac:dyDescent="0.15">
      <c r="B8" s="120"/>
      <c r="C8" s="128" t="s">
        <v>151</v>
      </c>
      <c r="D8" s="128"/>
      <c r="E8" s="129">
        <v>-1286.49</v>
      </c>
      <c r="F8" s="129">
        <v>897.39</v>
      </c>
      <c r="G8" s="129">
        <v>23650.03</v>
      </c>
      <c r="H8" s="129">
        <v>30201.72</v>
      </c>
      <c r="I8" s="129">
        <v>30385.98</v>
      </c>
      <c r="J8" s="129">
        <f>IS!I34</f>
        <v>36607.543243905267</v>
      </c>
      <c r="K8" s="129">
        <f>IS!J34</f>
        <v>42897.636600892183</v>
      </c>
      <c r="L8" s="129">
        <f>IS!K34</f>
        <v>51496.642814996405</v>
      </c>
      <c r="M8" s="129">
        <f>IS!L34</f>
        <v>61999.346781450382</v>
      </c>
      <c r="N8" s="129">
        <f>IS!M34</f>
        <v>76329.223404082353</v>
      </c>
      <c r="O8" s="114"/>
      <c r="P8" s="129"/>
      <c r="Q8" s="129"/>
      <c r="R8" s="129"/>
      <c r="S8" s="114"/>
    </row>
    <row r="9" spans="2:20" ht="24.95" customHeight="1" x14ac:dyDescent="0.15">
      <c r="B9" s="120"/>
      <c r="C9" s="128" t="s">
        <v>618</v>
      </c>
      <c r="D9" s="128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14"/>
      <c r="P9" s="129"/>
      <c r="Q9" s="129"/>
      <c r="R9" s="129"/>
      <c r="S9" s="114"/>
    </row>
    <row r="10" spans="2:20" ht="24.95" customHeight="1" x14ac:dyDescent="0.15">
      <c r="B10" s="120"/>
      <c r="C10" s="128"/>
      <c r="D10" s="128" t="s">
        <v>619</v>
      </c>
      <c r="E10" s="129"/>
      <c r="F10" s="129"/>
      <c r="G10" s="129">
        <v>189.45</v>
      </c>
      <c r="H10" s="129">
        <v>666.74</v>
      </c>
      <c r="I10" s="129">
        <v>781.68</v>
      </c>
      <c r="J10" s="129"/>
      <c r="K10" s="129"/>
      <c r="L10" s="129"/>
      <c r="M10" s="129"/>
      <c r="N10" s="129"/>
      <c r="O10" s="114"/>
      <c r="P10" s="129"/>
      <c r="Q10" s="129"/>
      <c r="R10" s="129"/>
      <c r="S10" s="114"/>
    </row>
    <row r="11" spans="2:20" ht="24.95" customHeight="1" x14ac:dyDescent="0.15">
      <c r="B11" s="120"/>
      <c r="C11" s="130"/>
      <c r="D11" s="128" t="s">
        <v>620</v>
      </c>
      <c r="E11" s="129"/>
      <c r="F11" s="129"/>
      <c r="G11" s="129">
        <v>1263.6099999999999</v>
      </c>
      <c r="H11" s="129">
        <v>2386.94</v>
      </c>
      <c r="I11" s="129">
        <v>3141.48</v>
      </c>
      <c r="J11" s="129">
        <f>资本开支假设!G91+资本开支假设!G92+资本开支假设!G93</f>
        <v>5568.2266499999996</v>
      </c>
      <c r="K11" s="129">
        <f>资本开支假设!H91+资本开支假设!H92+资本开支假设!H93</f>
        <v>10308.986393999998</v>
      </c>
      <c r="L11" s="129">
        <f>资本开支假设!I91+资本开支假设!I92+资本开支假设!I93</f>
        <v>15469.014096339999</v>
      </c>
      <c r="M11" s="129">
        <f>资本开支假设!J91+资本开支假设!J92+资本开支假设!J93</f>
        <v>17635.391161102398</v>
      </c>
      <c r="N11" s="129">
        <f>资本开支假设!K91+资本开支假设!K92+资本开支假设!K93</f>
        <v>17696.883112973061</v>
      </c>
      <c r="O11" s="114"/>
      <c r="P11" s="129"/>
      <c r="Q11" s="129"/>
      <c r="R11" s="129"/>
      <c r="S11" s="114"/>
    </row>
    <row r="12" spans="2:20" ht="24.95" customHeight="1" x14ac:dyDescent="0.15">
      <c r="B12" s="120"/>
      <c r="C12" s="130"/>
      <c r="D12" s="128" t="s">
        <v>516</v>
      </c>
      <c r="E12" s="129"/>
      <c r="F12" s="129"/>
      <c r="G12" s="129">
        <v>148.66999999999999</v>
      </c>
      <c r="H12" s="129">
        <v>221.05</v>
      </c>
      <c r="I12" s="129">
        <v>293.37</v>
      </c>
      <c r="J12" s="129">
        <f>资本开支假设!G94</f>
        <v>1294.4100059425352</v>
      </c>
      <c r="K12" s="129">
        <f>资本开支假设!H94</f>
        <v>2273.3753876128189</v>
      </c>
      <c r="L12" s="129">
        <f>资本开支假设!I94</f>
        <v>2974.5636999961998</v>
      </c>
      <c r="M12" s="129">
        <f>资本开支假设!J94</f>
        <v>3241.4661921785537</v>
      </c>
      <c r="N12" s="129">
        <f>资本开支假设!K94</f>
        <v>3563.8697727932786</v>
      </c>
      <c r="O12" s="114"/>
      <c r="P12" s="129"/>
      <c r="Q12" s="129"/>
      <c r="R12" s="129"/>
      <c r="S12" s="114"/>
    </row>
    <row r="13" spans="2:20" ht="24.95" customHeight="1" x14ac:dyDescent="0.15">
      <c r="B13" s="120"/>
      <c r="C13" s="130"/>
      <c r="D13" s="128" t="s">
        <v>517</v>
      </c>
      <c r="E13" s="129"/>
      <c r="F13" s="129"/>
      <c r="G13" s="129">
        <v>181.15</v>
      </c>
      <c r="H13" s="129">
        <v>760.46</v>
      </c>
      <c r="I13" s="129">
        <v>1363.52</v>
      </c>
      <c r="J13" s="129">
        <f>资本开支假设!G95</f>
        <v>745.50284044378805</v>
      </c>
      <c r="K13" s="129">
        <f>资本开支假设!H95</f>
        <v>926.46536664840119</v>
      </c>
      <c r="L13" s="129">
        <f>资本开支假设!I95</f>
        <v>1105.2946772729222</v>
      </c>
      <c r="M13" s="129">
        <f>资本开支假设!J95</f>
        <v>1297.1450974359425</v>
      </c>
      <c r="N13" s="129">
        <f>资本开支假设!K95</f>
        <v>1520.9012237378627</v>
      </c>
      <c r="O13" s="114"/>
      <c r="P13" s="129"/>
      <c r="Q13" s="129"/>
      <c r="R13" s="129"/>
      <c r="S13" s="114"/>
    </row>
    <row r="14" spans="2:20" ht="24.95" customHeight="1" x14ac:dyDescent="0.15">
      <c r="B14" s="120"/>
      <c r="C14" s="130"/>
      <c r="D14" s="128" t="s">
        <v>621</v>
      </c>
      <c r="E14" s="129"/>
      <c r="F14" s="129"/>
      <c r="G14" s="129">
        <v>244.32</v>
      </c>
      <c r="H14" s="129">
        <v>57.45</v>
      </c>
      <c r="I14" s="129">
        <v>6.56</v>
      </c>
      <c r="J14" s="129">
        <v>-149.02000000000001</v>
      </c>
      <c r="K14" s="129"/>
      <c r="L14" s="129"/>
      <c r="M14" s="129"/>
      <c r="N14" s="129"/>
      <c r="O14" s="114"/>
      <c r="P14" s="129"/>
      <c r="Q14" s="129"/>
      <c r="R14" s="129"/>
      <c r="S14" s="114"/>
    </row>
    <row r="15" spans="2:20" ht="24.95" customHeight="1" x14ac:dyDescent="0.15">
      <c r="B15" s="120"/>
      <c r="C15" s="130"/>
      <c r="D15" s="128" t="s">
        <v>622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14"/>
      <c r="P15" s="129"/>
      <c r="Q15" s="129"/>
      <c r="R15" s="129"/>
      <c r="S15" s="114"/>
    </row>
    <row r="16" spans="2:20" ht="24.95" customHeight="1" x14ac:dyDescent="0.15">
      <c r="B16" s="120"/>
      <c r="C16" s="130"/>
      <c r="D16" s="128" t="s">
        <v>623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14"/>
      <c r="P16" s="129"/>
      <c r="Q16" s="129"/>
      <c r="R16" s="129"/>
      <c r="S16" s="114"/>
    </row>
    <row r="17" spans="2:19" ht="24.95" customHeight="1" x14ac:dyDescent="0.15">
      <c r="B17" s="120"/>
      <c r="C17" s="130"/>
      <c r="D17" s="128" t="s">
        <v>624</v>
      </c>
      <c r="E17" s="129"/>
      <c r="F17" s="129"/>
      <c r="G17" s="129">
        <v>541.57000000000005</v>
      </c>
      <c r="H17" s="129">
        <v>383.43</v>
      </c>
      <c r="I17" s="129">
        <v>378.57</v>
      </c>
      <c r="J17" s="129"/>
      <c r="K17" s="129"/>
      <c r="L17" s="129"/>
      <c r="M17" s="129"/>
      <c r="N17" s="129"/>
      <c r="O17" s="114"/>
      <c r="P17" s="129"/>
      <c r="Q17" s="129"/>
      <c r="R17" s="129"/>
      <c r="S17" s="114"/>
    </row>
    <row r="18" spans="2:19" ht="24.95" customHeight="1" x14ac:dyDescent="0.15">
      <c r="B18" s="120"/>
      <c r="C18" s="130"/>
      <c r="D18" s="128" t="s">
        <v>625</v>
      </c>
      <c r="E18" s="129"/>
      <c r="F18" s="129"/>
      <c r="G18" s="129">
        <v>-187.39</v>
      </c>
      <c r="H18" s="129">
        <v>-579.86</v>
      </c>
      <c r="I18" s="129">
        <v>-568.94000000000005</v>
      </c>
      <c r="J18" s="129">
        <f>BS!H20-BS!I20</f>
        <v>0</v>
      </c>
      <c r="K18" s="129">
        <f>BS!I20-BS!J20</f>
        <v>0</v>
      </c>
      <c r="L18" s="129">
        <f>BS!J20-BS!K20</f>
        <v>0</v>
      </c>
      <c r="M18" s="129">
        <f>BS!K20-BS!L20</f>
        <v>0</v>
      </c>
      <c r="N18" s="129">
        <f>BS!L20-BS!M20</f>
        <v>0</v>
      </c>
      <c r="O18" s="114"/>
      <c r="P18" s="129"/>
      <c r="Q18" s="129"/>
      <c r="R18" s="129"/>
      <c r="S18" s="114"/>
    </row>
    <row r="19" spans="2:19" ht="24.95" customHeight="1" x14ac:dyDescent="0.15">
      <c r="B19" s="120"/>
      <c r="C19" s="130"/>
      <c r="D19" s="128" t="s">
        <v>626</v>
      </c>
      <c r="E19" s="129"/>
      <c r="F19" s="129"/>
      <c r="G19" s="129">
        <v>-64.52</v>
      </c>
      <c r="H19" s="129">
        <v>-494.79</v>
      </c>
      <c r="I19" s="129">
        <v>-447.01</v>
      </c>
      <c r="J19" s="129">
        <f>BS!H29-BS!I29</f>
        <v>-252.54878351095772</v>
      </c>
      <c r="K19" s="129">
        <f>BS!I29-BS!J29</f>
        <v>-244.63056705862709</v>
      </c>
      <c r="L19" s="129">
        <f>BS!J29-BS!K29</f>
        <v>-334.42743166289574</v>
      </c>
      <c r="M19" s="129">
        <f>BS!K29-BS!L29</f>
        <v>-408.4649115912755</v>
      </c>
      <c r="N19" s="129">
        <f>BS!L29-BS!M29</f>
        <v>-557.30903265223515</v>
      </c>
      <c r="O19" s="114"/>
      <c r="P19" s="129"/>
      <c r="Q19" s="129"/>
      <c r="R19" s="129"/>
      <c r="S19" s="114"/>
    </row>
    <row r="20" spans="2:19" ht="24.95" customHeight="1" x14ac:dyDescent="0.15">
      <c r="B20" s="120"/>
      <c r="C20" s="130"/>
      <c r="D20" s="128" t="s">
        <v>627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14"/>
      <c r="P20" s="129"/>
      <c r="Q20" s="129"/>
      <c r="R20" s="129"/>
      <c r="S20" s="114"/>
    </row>
    <row r="21" spans="2:19" ht="24.95" customHeight="1" x14ac:dyDescent="0.15">
      <c r="B21" s="120"/>
      <c r="C21" s="130"/>
      <c r="D21" s="128" t="s">
        <v>628</v>
      </c>
      <c r="E21" s="129"/>
      <c r="F21" s="129"/>
      <c r="G21" s="129"/>
      <c r="H21" s="129"/>
      <c r="I21" s="129"/>
      <c r="J21" s="129">
        <f>BS!I45-BS!H45</f>
        <v>619.4578427219717</v>
      </c>
      <c r="K21" s="129">
        <f>BS!J45-BS!I45</f>
        <v>507.22348893187473</v>
      </c>
      <c r="L21" s="129">
        <f>BS!K45-BS!J45</f>
        <v>713.73574212241419</v>
      </c>
      <c r="M21" s="129">
        <f>BS!L45-BS!K45</f>
        <v>976.70060446070966</v>
      </c>
      <c r="N21" s="129">
        <f>BS!M45-BS!L45</f>
        <v>1420.0964696351048</v>
      </c>
      <c r="O21" s="114"/>
      <c r="P21" s="129"/>
      <c r="Q21" s="129"/>
      <c r="R21" s="129"/>
      <c r="S21" s="114"/>
    </row>
    <row r="22" spans="2:19" ht="24.95" customHeight="1" x14ac:dyDescent="0.15">
      <c r="B22" s="120"/>
      <c r="C22" s="130"/>
      <c r="D22" s="128" t="s">
        <v>629</v>
      </c>
      <c r="E22" s="129"/>
      <c r="F22" s="129"/>
      <c r="G22" s="129">
        <v>-51002.45</v>
      </c>
      <c r="H22" s="129">
        <v>8009.12</v>
      </c>
      <c r="I22" s="129">
        <v>-15236.45</v>
      </c>
      <c r="J22" s="129">
        <f>BS!H16-BS!I16</f>
        <v>-14723.952344809455</v>
      </c>
      <c r="K22" s="129">
        <f>BS!I16-BS!J16</f>
        <v>-8412.956554972654</v>
      </c>
      <c r="L22" s="129">
        <f>BS!J16-BS!K16</f>
        <v>-17372.517106333689</v>
      </c>
      <c r="M22" s="129">
        <f>BS!K16-BS!L16</f>
        <v>-24586.828072533623</v>
      </c>
      <c r="N22" s="129">
        <f>BS!L16-BS!M16</f>
        <v>-40858.440693031822</v>
      </c>
      <c r="O22" s="114"/>
      <c r="P22" s="129"/>
      <c r="Q22" s="129"/>
      <c r="R22" s="129"/>
      <c r="S22" s="114"/>
    </row>
    <row r="23" spans="2:19" ht="24.95" customHeight="1" x14ac:dyDescent="0.15">
      <c r="B23" s="120"/>
      <c r="C23" s="130"/>
      <c r="D23" s="128" t="s">
        <v>630</v>
      </c>
      <c r="E23" s="129"/>
      <c r="F23" s="129"/>
      <c r="G23" s="129">
        <v>-14420.43</v>
      </c>
      <c r="H23" s="129">
        <v>1946.08</v>
      </c>
      <c r="I23" s="129">
        <v>-15639.53</v>
      </c>
      <c r="J23" s="129">
        <f>BS!H10-BS!I10+BS!H11-BS!I11+BS!H12-BS!I12+BS!H13-BS!I13</f>
        <v>-1682.8785857606886</v>
      </c>
      <c r="K23" s="129">
        <f>BS!I10-BS!J10+BS!I11-BS!J11+BS!I12-BS!J12+BS!I13-BS!J13</f>
        <v>-4165.4032774337429</v>
      </c>
      <c r="L23" s="129">
        <f>BS!J10-BS!K10+BS!J11-BS!K11+BS!J12-BS!K12+BS!J13-BS!K13</f>
        <v>-6042.790633022144</v>
      </c>
      <c r="M23" s="129">
        <f>BS!K10-BS!L10+BS!K11-BS!L11+BS!K12-BS!L12+BS!K13-BS!L13</f>
        <v>-8337.9657102346282</v>
      </c>
      <c r="N23" s="129">
        <f>BS!L10-BS!M10+BS!L11-BS!M11+BS!L12-BS!M12+BS!L13-BS!M13</f>
        <v>-12201.848357891249</v>
      </c>
      <c r="O23" s="114"/>
      <c r="P23" s="129"/>
      <c r="Q23" s="129"/>
      <c r="R23" s="129"/>
      <c r="S23" s="114"/>
    </row>
    <row r="24" spans="2:19" ht="24.95" customHeight="1" x14ac:dyDescent="0.15">
      <c r="B24" s="120"/>
      <c r="C24" s="130"/>
      <c r="D24" s="128" t="s">
        <v>631</v>
      </c>
      <c r="E24" s="129"/>
      <c r="F24" s="129"/>
      <c r="G24" s="129">
        <v>45848.86</v>
      </c>
      <c r="H24" s="129">
        <v>1132.55</v>
      </c>
      <c r="I24" s="129">
        <v>59633.75</v>
      </c>
      <c r="J24" s="129">
        <f>BS!I36-BS!H36+BS!I37-BS!H37+BS!I38-BS!H38+BS!I39-BS!H39+BS!I40-BS!H40+BS!I41-BS!H41</f>
        <v>42793.107651800499</v>
      </c>
      <c r="K24" s="129">
        <f>BS!J36-BS!I36+BS!J37-BS!I37+BS!J38-BS!I38+BS!J39-BS!I39+BS!J40-BS!I40+BS!J41-BS!I41</f>
        <v>39551.685013185757</v>
      </c>
      <c r="L24" s="129">
        <f>BS!K36-BS!J36+BS!K37-BS!J37+BS!K38-BS!J38+BS!K39-BS!J39+BS!K40-BS!J40+BS!K41-BS!J41</f>
        <v>56619.132658066919</v>
      </c>
      <c r="M24" s="129">
        <f>BS!L36-BS!K36+BS!L37-BS!K37+BS!L38-BS!K38+BS!L39-BS!K39+BS!L40-BS!K40+BS!L41-BS!K41</f>
        <v>80744.854933099865</v>
      </c>
      <c r="N24" s="129">
        <f>BS!M36-BS!L36+BS!M37-BS!L37+BS!M38-BS!L38+BS!M39-BS!L39+BS!M40-BS!L40+BS!M41-BS!L41</f>
        <v>121968.30629976107</v>
      </c>
      <c r="O24" s="114"/>
      <c r="P24" s="129"/>
      <c r="Q24" s="129"/>
      <c r="R24" s="129"/>
      <c r="S24" s="114"/>
    </row>
    <row r="25" spans="2:19" ht="24.95" customHeight="1" x14ac:dyDescent="0.15">
      <c r="B25" s="120"/>
      <c r="C25" s="130"/>
      <c r="D25" s="128" t="s">
        <v>632</v>
      </c>
      <c r="E25" s="129"/>
      <c r="F25" s="129"/>
      <c r="G25" s="129">
        <v>4562.3100000000004</v>
      </c>
      <c r="H25" s="129">
        <v>9.43</v>
      </c>
      <c r="I25" s="129">
        <v>-442.93</v>
      </c>
      <c r="J25" s="129">
        <f>BS!H14-BS!I14+BS!H17-BS!I17+BS!H30-BS!I30+BS!I44-BS!H44</f>
        <v>19.845085277809517</v>
      </c>
      <c r="K25" s="129">
        <f>BS!I14-BS!J14+BS!I17-BS!J17+BS!I30-BS!J30+BS!J44-BS!I44</f>
        <v>7.9434848841879102</v>
      </c>
      <c r="L25" s="129">
        <f>BS!J14-BS!K14+BS!J17-BS!K17+BS!J30-BS!K30+BS!K44-BS!J44</f>
        <v>15.603221337966659</v>
      </c>
      <c r="M25" s="129">
        <f>BS!K14-BS!L14+BS!K17-BS!L17+BS!K30-BS!L30+BS!L44-BS!K44</f>
        <v>23.668379332541463</v>
      </c>
      <c r="N25" s="129">
        <f>BS!L14-BS!M14+BS!L17-BS!M17+BS!L30-BS!M30+BS!M44-BS!L44</f>
        <v>37.238251040514285</v>
      </c>
      <c r="O25" s="129">
        <f>BS!M14-BS!N14+BS!M17-BS!N17+BS!M30-BS!N30+BS!N44-BS!M44</f>
        <v>5592.4815781269799</v>
      </c>
      <c r="P25" s="129">
        <f>BS!N14-BS!O14+BS!N17-BS!O17+BS!N30-BS!O30+BS!O44-BS!N44</f>
        <v>0</v>
      </c>
      <c r="Q25" s="129">
        <f>BS!O14-BS!P14+BS!O17-BS!P17+BS!O30-BS!P30+BS!P44-BS!O44</f>
        <v>0</v>
      </c>
      <c r="R25" s="129">
        <f>BS!P14-BS!Q14+BS!P17-BS!Q17+BS!P30-BS!Q30+BS!Q44-BS!P44</f>
        <v>0</v>
      </c>
      <c r="S25" s="114"/>
    </row>
    <row r="26" spans="2:19" ht="24.95" customHeight="1" x14ac:dyDescent="0.15">
      <c r="B26" s="120"/>
      <c r="C26" s="130"/>
      <c r="D26" s="128" t="s">
        <v>633</v>
      </c>
      <c r="E26" s="129"/>
      <c r="F26" s="129"/>
      <c r="G26" s="129"/>
      <c r="H26" s="129"/>
      <c r="I26" s="129"/>
      <c r="J26" s="129">
        <f>资产负债假设!J27</f>
        <v>0</v>
      </c>
      <c r="K26" s="129">
        <f>资产负债假设!K27</f>
        <v>0</v>
      </c>
      <c r="L26" s="129">
        <f>资产负债假设!L27</f>
        <v>0</v>
      </c>
      <c r="M26" s="129">
        <f>资产负债假设!M27</f>
        <v>0</v>
      </c>
      <c r="N26" s="129">
        <f>资产负债假设!N27</f>
        <v>0</v>
      </c>
      <c r="O26" s="114"/>
      <c r="P26" s="129"/>
      <c r="Q26" s="129"/>
      <c r="R26" s="129"/>
      <c r="S26" s="114"/>
    </row>
    <row r="27" spans="2:19" ht="24.95" customHeight="1" x14ac:dyDescent="0.15">
      <c r="B27" s="120"/>
      <c r="C27" s="130"/>
      <c r="D27" s="127" t="s">
        <v>634</v>
      </c>
      <c r="E27" s="129">
        <v>764.69</v>
      </c>
      <c r="F27" s="129">
        <v>-18607.86</v>
      </c>
      <c r="G27" s="129">
        <f t="shared" ref="G27:I27" si="0">SUM(G8:G26)</f>
        <v>10955.180000000004</v>
      </c>
      <c r="H27" s="129">
        <f t="shared" si="0"/>
        <v>44700.320000000007</v>
      </c>
      <c r="I27" s="129">
        <f t="shared" si="0"/>
        <v>63650.049999999988</v>
      </c>
      <c r="J27" s="129">
        <f t="shared" ref="J27:N27" si="1">SUM(J8:J26)</f>
        <v>70839.693606010769</v>
      </c>
      <c r="K27" s="129">
        <f t="shared" si="1"/>
        <v>83650.325336690206</v>
      </c>
      <c r="L27" s="129">
        <f t="shared" si="1"/>
        <v>104644.2517391141</v>
      </c>
      <c r="M27" s="129">
        <f t="shared" si="1"/>
        <v>132585.31445470089</v>
      </c>
      <c r="N27" s="129">
        <f t="shared" si="1"/>
        <v>168918.92045044794</v>
      </c>
      <c r="O27" s="114"/>
      <c r="P27" s="129"/>
      <c r="Q27" s="129"/>
      <c r="R27" s="129"/>
      <c r="S27" s="114"/>
    </row>
    <row r="28" spans="2:19" ht="24.95" customHeight="1" x14ac:dyDescent="0.15">
      <c r="B28" s="120"/>
      <c r="C28" s="127" t="s">
        <v>635</v>
      </c>
      <c r="D28" s="128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14"/>
      <c r="P28" s="128"/>
      <c r="Q28" s="129"/>
      <c r="R28" s="129"/>
      <c r="S28" s="114"/>
    </row>
    <row r="29" spans="2:19" ht="24.95" customHeight="1" x14ac:dyDescent="0.15">
      <c r="B29" s="120"/>
      <c r="C29" s="127"/>
      <c r="D29" s="128" t="s">
        <v>636</v>
      </c>
      <c r="E29" s="129">
        <v>36804.199999999997</v>
      </c>
      <c r="F29" s="129">
        <v>69349.81</v>
      </c>
      <c r="G29" s="129">
        <v>116933.21</v>
      </c>
      <c r="H29" s="129">
        <v>232787.76</v>
      </c>
      <c r="I29" s="129">
        <v>155570.21</v>
      </c>
      <c r="J29" s="405">
        <f>BS!H19-BS!I19</f>
        <v>0</v>
      </c>
      <c r="K29" s="405">
        <f>BS!I19-BS!J19</f>
        <v>0</v>
      </c>
      <c r="L29" s="405">
        <f>BS!J19-BS!K19</f>
        <v>0</v>
      </c>
      <c r="M29" s="405">
        <f>BS!K19-BS!L19</f>
        <v>0</v>
      </c>
      <c r="N29" s="405">
        <f>BS!L19-BS!M19</f>
        <v>0</v>
      </c>
      <c r="O29" s="114"/>
      <c r="P29" s="128"/>
      <c r="Q29" s="129"/>
      <c r="R29" s="129"/>
      <c r="S29" s="114"/>
    </row>
    <row r="30" spans="2:19" ht="24.95" customHeight="1" x14ac:dyDescent="0.15">
      <c r="B30" s="120"/>
      <c r="C30" s="127"/>
      <c r="D30" s="128" t="s">
        <v>637</v>
      </c>
      <c r="E30" s="129">
        <v>44.26</v>
      </c>
      <c r="F30" s="129">
        <v>29.13</v>
      </c>
      <c r="G30" s="129">
        <v>60.6</v>
      </c>
      <c r="H30" s="129"/>
      <c r="I30" s="129"/>
      <c r="J30" s="406"/>
      <c r="K30" s="406"/>
      <c r="L30" s="406"/>
      <c r="M30" s="406"/>
      <c r="N30" s="406"/>
      <c r="O30" s="114"/>
      <c r="P30" s="128"/>
      <c r="Q30" s="129"/>
      <c r="R30" s="129"/>
      <c r="S30" s="114"/>
    </row>
    <row r="31" spans="2:19" ht="24.95" customHeight="1" x14ac:dyDescent="0.15">
      <c r="B31" s="120"/>
      <c r="C31" s="127"/>
      <c r="D31" s="128" t="s">
        <v>638</v>
      </c>
      <c r="E31" s="129">
        <v>-37700</v>
      </c>
      <c r="F31" s="129">
        <v>-68304.7</v>
      </c>
      <c r="G31" s="129">
        <v>-117000</v>
      </c>
      <c r="H31" s="129">
        <v>-232400</v>
      </c>
      <c r="I31" s="129">
        <v>-155000</v>
      </c>
      <c r="J31" s="407"/>
      <c r="K31" s="407"/>
      <c r="L31" s="407"/>
      <c r="M31" s="407"/>
      <c r="N31" s="407"/>
      <c r="O31" s="114"/>
      <c r="P31" s="128"/>
      <c r="Q31" s="129"/>
      <c r="R31" s="129"/>
      <c r="S31" s="114"/>
    </row>
    <row r="32" spans="2:19" ht="24.95" customHeight="1" x14ac:dyDescent="0.15">
      <c r="B32" s="120"/>
      <c r="C32" s="127"/>
      <c r="D32" s="128" t="s">
        <v>639</v>
      </c>
      <c r="E32" s="129">
        <v>-6146.36</v>
      </c>
      <c r="F32" s="129">
        <v>-7719.33</v>
      </c>
      <c r="G32" s="129">
        <v>-12081.74</v>
      </c>
      <c r="H32" s="129">
        <v>-18546.66</v>
      </c>
      <c r="I32" s="129">
        <v>-24420.51</v>
      </c>
      <c r="J32" s="405">
        <f>BS!H21-BS!I21-资本开支假设!G91+BS!H22-BS!I22+BS!H23-BS!I23+BS!H24-BS!I24+BS!H26-BS!I26+BS!H27-BS!I27-资本开支假设!G92-资本开支假设!G93+BS!H25-BS!I25-资本开支假设!G94+BS!H28-BS!I28-资本开支假设!G95</f>
        <v>-43328.138404437879</v>
      </c>
      <c r="K32" s="405">
        <f>BS!I21-BS!J21-资本开支假设!H91+BS!I22-BS!J22+BS!I23-BS!J23+BS!I24-BS!J24+BS!I26-BS!J26+BS!I27-BS!J27-资本开支假设!H92-资本开支假设!H93+BS!I25-BS!J25-资本开支假设!H94+BS!I28-BS!J28-资本开支假设!H95</f>
        <v>-79520.592538495839</v>
      </c>
      <c r="L32" s="405">
        <f>BS!J21-BS!K21-资本开支假设!I91+BS!J22-BS!K22+BS!J23-BS!K23+BS!J24-BS!K24+BS!J26-BS!K26+BS!J27-BS!K27-资本开支假设!I92-资本开支假设!I93+BS!J25-BS!K25-资本开支假设!I94+BS!J28-BS!K28-资本开支假设!I95</f>
        <v>-23922.661301046181</v>
      </c>
      <c r="M32" s="405">
        <f>BS!K21-BS!L21-资本开支假设!J91+BS!K22-BS!L22+BS!K23-BS!L23+BS!K24-BS!L24+BS!K26-BS!L26+BS!K27-BS!L27-资本开支假设!J92-资本开支假设!J93+BS!K25-BS!L25-资本开支假设!J94+BS!K28-BS!L28-资本开支假设!J95</f>
        <v>-26206.432255129846</v>
      </c>
      <c r="N32" s="405">
        <f>BS!L21-BS!M21-资本开支假设!K91+BS!L22-BS!M22+BS!L23-BS!M23+BS!L24-BS!M24+BS!L26-BS!M26+BS!L27-BS!M27-资本开支假设!K92-资本开支假设!K93+BS!L25-BS!M25-资本开支假设!K94+BS!L28-BS!M28-资本开支假设!K95</f>
        <v>-28625.419202761212</v>
      </c>
      <c r="O32" s="114"/>
      <c r="P32" s="128"/>
      <c r="Q32" s="129"/>
      <c r="R32" s="129"/>
      <c r="S32" s="114"/>
    </row>
    <row r="33" spans="2:19" ht="24.95" customHeight="1" x14ac:dyDescent="0.15">
      <c r="B33" s="120"/>
      <c r="C33" s="127"/>
      <c r="D33" s="128" t="s">
        <v>640</v>
      </c>
      <c r="E33" s="129">
        <v>92.19</v>
      </c>
      <c r="F33" s="129"/>
      <c r="G33" s="129">
        <v>193.65</v>
      </c>
      <c r="H33" s="129">
        <v>12.87</v>
      </c>
      <c r="I33" s="129">
        <v>65.56</v>
      </c>
      <c r="J33" s="407"/>
      <c r="K33" s="407"/>
      <c r="L33" s="407"/>
      <c r="M33" s="407"/>
      <c r="N33" s="407"/>
      <c r="O33" s="114"/>
      <c r="P33" s="128"/>
      <c r="Q33" s="129"/>
      <c r="R33" s="129"/>
      <c r="S33" s="114"/>
    </row>
    <row r="34" spans="2:19" ht="24.95" customHeight="1" x14ac:dyDescent="0.15">
      <c r="B34" s="120"/>
      <c r="C34" s="127"/>
      <c r="D34" s="128" t="s">
        <v>641</v>
      </c>
      <c r="E34" s="129"/>
      <c r="F34" s="129"/>
      <c r="G34" s="129"/>
      <c r="H34" s="129"/>
      <c r="I34" s="129"/>
      <c r="J34" s="145"/>
      <c r="K34" s="145"/>
      <c r="L34" s="145"/>
      <c r="M34" s="145"/>
      <c r="N34" s="145"/>
      <c r="O34" s="114"/>
      <c r="P34" s="128"/>
      <c r="Q34" s="129"/>
      <c r="R34" s="129"/>
      <c r="S34" s="114"/>
    </row>
    <row r="35" spans="2:19" ht="24.95" customHeight="1" x14ac:dyDescent="0.15">
      <c r="B35" s="120"/>
      <c r="C35" s="127"/>
      <c r="D35" s="128" t="s">
        <v>642</v>
      </c>
      <c r="E35" s="129"/>
      <c r="F35" s="129"/>
      <c r="G35" s="129"/>
      <c r="H35" s="129"/>
      <c r="I35" s="129"/>
      <c r="J35" s="145"/>
      <c r="K35" s="145"/>
      <c r="L35" s="145"/>
      <c r="M35" s="145"/>
      <c r="N35" s="145"/>
      <c r="O35" s="114"/>
      <c r="P35" s="128"/>
      <c r="Q35" s="129"/>
      <c r="R35" s="129"/>
      <c r="S35" s="114"/>
    </row>
    <row r="36" spans="2:19" ht="24.95" customHeight="1" x14ac:dyDescent="0.15">
      <c r="B36" s="120"/>
      <c r="C36" s="127"/>
      <c r="D36" s="128" t="s">
        <v>643</v>
      </c>
      <c r="E36" s="129"/>
      <c r="F36" s="129"/>
      <c r="G36" s="129"/>
      <c r="H36" s="129"/>
      <c r="I36" s="129"/>
      <c r="J36" s="408"/>
      <c r="K36" s="408"/>
      <c r="L36" s="408"/>
      <c r="M36" s="408"/>
      <c r="N36" s="408"/>
      <c r="O36" s="114"/>
      <c r="P36" s="128"/>
      <c r="Q36" s="129"/>
      <c r="R36" s="129"/>
      <c r="S36" s="114"/>
    </row>
    <row r="37" spans="2:19" ht="24.95" customHeight="1" x14ac:dyDescent="0.15">
      <c r="B37" s="120"/>
      <c r="C37" s="127"/>
      <c r="D37" s="128" t="s">
        <v>644</v>
      </c>
      <c r="E37" s="129"/>
      <c r="F37" s="129">
        <v>-9.51</v>
      </c>
      <c r="G37" s="129"/>
      <c r="H37" s="129">
        <v>-7.76</v>
      </c>
      <c r="I37" s="129"/>
      <c r="J37" s="409"/>
      <c r="K37" s="409"/>
      <c r="L37" s="409"/>
      <c r="M37" s="409"/>
      <c r="N37" s="409"/>
      <c r="O37" s="114"/>
      <c r="P37" s="128"/>
      <c r="Q37" s="129"/>
      <c r="R37" s="129"/>
      <c r="S37" s="114"/>
    </row>
    <row r="38" spans="2:19" ht="24.95" customHeight="1" x14ac:dyDescent="0.15">
      <c r="B38" s="120"/>
      <c r="C38" s="130"/>
      <c r="D38" s="127" t="s">
        <v>645</v>
      </c>
      <c r="E38" s="129">
        <f>SUM(E29:E37)</f>
        <v>-6905.7100000000009</v>
      </c>
      <c r="F38" s="129">
        <f t="shared" ref="F38:I38" si="2">SUM(F29:F37)</f>
        <v>-6654.5999999999949</v>
      </c>
      <c r="G38" s="129">
        <f t="shared" si="2"/>
        <v>-11894.279999999988</v>
      </c>
      <c r="H38" s="129">
        <f t="shared" si="2"/>
        <v>-18153.78999999999</v>
      </c>
      <c r="I38" s="129">
        <f t="shared" si="2"/>
        <v>-23784.740000000005</v>
      </c>
      <c r="J38" s="129">
        <f>SUM(J29:J36)</f>
        <v>-43328.138404437879</v>
      </c>
      <c r="K38" s="129">
        <f t="shared" ref="K38:N38" si="3">SUM(K29:K36)</f>
        <v>-79520.592538495839</v>
      </c>
      <c r="L38" s="129">
        <f t="shared" si="3"/>
        <v>-23922.661301046181</v>
      </c>
      <c r="M38" s="129">
        <f t="shared" si="3"/>
        <v>-26206.432255129846</v>
      </c>
      <c r="N38" s="129">
        <f t="shared" si="3"/>
        <v>-28625.419202761212</v>
      </c>
      <c r="O38" s="114"/>
      <c r="P38" s="129"/>
      <c r="Q38" s="129"/>
      <c r="R38" s="129"/>
      <c r="S38" s="114"/>
    </row>
    <row r="39" spans="2:19" ht="24.95" customHeight="1" x14ac:dyDescent="0.15">
      <c r="B39" s="120"/>
      <c r="C39" s="127" t="s">
        <v>646</v>
      </c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14"/>
      <c r="P39" s="128"/>
      <c r="Q39" s="129"/>
      <c r="R39" s="129"/>
      <c r="S39" s="114" t="s">
        <v>473</v>
      </c>
    </row>
    <row r="40" spans="2:19" ht="24.95" customHeight="1" x14ac:dyDescent="0.15">
      <c r="B40" s="120"/>
      <c r="C40" s="127"/>
      <c r="D40" s="128" t="s">
        <v>647</v>
      </c>
      <c r="E40" s="129">
        <v>10018.33</v>
      </c>
      <c r="F40" s="129">
        <v>16600</v>
      </c>
      <c r="G40" s="129">
        <v>3750</v>
      </c>
      <c r="H40" s="129"/>
      <c r="I40" s="129"/>
      <c r="J40" s="146">
        <f>资产负债假设!J30</f>
        <v>60188</v>
      </c>
      <c r="K40" s="146">
        <f>资产负债假设!K30</f>
        <v>0</v>
      </c>
      <c r="L40" s="146">
        <f>资产负债假设!L30</f>
        <v>0</v>
      </c>
      <c r="M40" s="146">
        <f>资产负债假设!M30</f>
        <v>0</v>
      </c>
      <c r="N40" s="146">
        <f>资产负债假设!N30</f>
        <v>0</v>
      </c>
      <c r="O40" s="114"/>
      <c r="P40" s="128"/>
      <c r="Q40" s="129"/>
      <c r="R40" s="129"/>
      <c r="S40" s="114"/>
    </row>
    <row r="41" spans="2:19" ht="24.95" customHeight="1" x14ac:dyDescent="0.15">
      <c r="B41" s="120"/>
      <c r="C41" s="127"/>
      <c r="D41" s="128" t="s">
        <v>648</v>
      </c>
      <c r="E41" s="129"/>
      <c r="F41" s="129"/>
      <c r="G41" s="129"/>
      <c r="H41" s="129"/>
      <c r="I41" s="129"/>
      <c r="J41" s="146">
        <f>-IS!I38</f>
        <v>0</v>
      </c>
      <c r="K41" s="146">
        <f>-IS!J38</f>
        <v>0</v>
      </c>
      <c r="L41" s="146">
        <f>-IS!K38</f>
        <v>0</v>
      </c>
      <c r="M41" s="146">
        <f>-IS!L38</f>
        <v>0</v>
      </c>
      <c r="N41" s="146">
        <f>-IS!M38</f>
        <v>0</v>
      </c>
      <c r="O41" s="114"/>
      <c r="P41" s="128"/>
      <c r="Q41" s="129"/>
      <c r="R41" s="129"/>
      <c r="S41" s="114"/>
    </row>
    <row r="42" spans="2:19" ht="24.95" customHeight="1" x14ac:dyDescent="0.15">
      <c r="B42" s="120"/>
      <c r="C42" s="127"/>
      <c r="D42" s="128" t="s">
        <v>649</v>
      </c>
      <c r="E42" s="129">
        <v>2201.98</v>
      </c>
      <c r="F42" s="129">
        <v>16300</v>
      </c>
      <c r="G42" s="129">
        <v>49800</v>
      </c>
      <c r="H42" s="129">
        <v>3000</v>
      </c>
      <c r="I42" s="129">
        <v>16800</v>
      </c>
      <c r="J42" s="405">
        <f>J74+BS!I43-BS!H43</f>
        <v>3283.092551565489</v>
      </c>
      <c r="K42" s="405">
        <f>K74+BS!J43-BS!I43</f>
        <v>22187.468343499429</v>
      </c>
      <c r="L42" s="405">
        <f>L74+BS!K43-BS!J43</f>
        <v>12742.764508983251</v>
      </c>
      <c r="M42" s="405">
        <f>M74+BS!L43-BS!K43</f>
        <v>1639.7947302309622</v>
      </c>
      <c r="N42" s="405">
        <f>N74+BS!M43-BS!L43</f>
        <v>2004.4406615140906</v>
      </c>
      <c r="O42" s="114"/>
      <c r="P42" s="128"/>
      <c r="Q42" s="129"/>
      <c r="R42" s="129"/>
      <c r="S42" s="114"/>
    </row>
    <row r="43" spans="2:19" ht="24.95" customHeight="1" x14ac:dyDescent="0.15">
      <c r="B43" s="120"/>
      <c r="C43" s="127"/>
      <c r="D43" s="128" t="s">
        <v>650</v>
      </c>
      <c r="E43" s="129">
        <v>-0.01</v>
      </c>
      <c r="F43" s="129">
        <v>-7016.26</v>
      </c>
      <c r="G43" s="129">
        <v>-20100</v>
      </c>
      <c r="H43" s="129">
        <v>-18800</v>
      </c>
      <c r="I43" s="129">
        <v>-16800</v>
      </c>
      <c r="J43" s="407"/>
      <c r="K43" s="407"/>
      <c r="L43" s="407"/>
      <c r="M43" s="407"/>
      <c r="N43" s="407"/>
      <c r="O43" s="114"/>
      <c r="P43" s="128"/>
      <c r="Q43" s="129"/>
      <c r="R43" s="129"/>
      <c r="S43" s="114"/>
    </row>
    <row r="44" spans="2:19" ht="24.95" customHeight="1" x14ac:dyDescent="0.15">
      <c r="B44" s="120"/>
      <c r="C44" s="127"/>
      <c r="D44" s="128" t="s">
        <v>651</v>
      </c>
      <c r="E44" s="129"/>
      <c r="F44" s="129"/>
      <c r="G44" s="129"/>
      <c r="H44" s="129"/>
      <c r="I44" s="129"/>
      <c r="J44" s="146"/>
      <c r="K44" s="146"/>
      <c r="L44" s="146"/>
      <c r="M44" s="146"/>
      <c r="N44" s="146"/>
      <c r="O44" s="114"/>
      <c r="P44" s="128"/>
      <c r="Q44" s="129"/>
      <c r="R44" s="129"/>
      <c r="S44" s="114"/>
    </row>
    <row r="45" spans="2:19" ht="24.95" customHeight="1" x14ac:dyDescent="0.15">
      <c r="B45" s="120"/>
      <c r="C45" s="127"/>
      <c r="D45" s="128" t="s">
        <v>652</v>
      </c>
      <c r="E45" s="129">
        <v>30</v>
      </c>
      <c r="F45" s="129">
        <v>260</v>
      </c>
      <c r="G45" s="129"/>
      <c r="H45" s="129"/>
      <c r="I45" s="129"/>
      <c r="J45" s="146"/>
      <c r="K45" s="146"/>
      <c r="L45" s="146"/>
      <c r="M45" s="146"/>
      <c r="N45" s="146"/>
      <c r="O45" s="114"/>
      <c r="P45" s="128"/>
      <c r="Q45" s="129"/>
      <c r="R45" s="129"/>
      <c r="S45" s="114"/>
    </row>
    <row r="46" spans="2:19" ht="24.95" customHeight="1" x14ac:dyDescent="0.15">
      <c r="B46" s="120"/>
      <c r="C46" s="127"/>
      <c r="D46" s="128" t="s">
        <v>653</v>
      </c>
      <c r="E46" s="129">
        <v>-1.9</v>
      </c>
      <c r="F46" s="129">
        <v>-77.290000000000006</v>
      </c>
      <c r="G46" s="129">
        <v>-1492.11</v>
      </c>
      <c r="H46" s="129">
        <v>-10649.58</v>
      </c>
      <c r="I46" s="129">
        <v>-360.72</v>
      </c>
      <c r="J46" s="129">
        <f>-资产负债假设!J37</f>
        <v>0</v>
      </c>
      <c r="K46" s="129">
        <f>-资产负债假设!K37</f>
        <v>0</v>
      </c>
      <c r="L46" s="129">
        <f>-资产负债假设!L37</f>
        <v>0</v>
      </c>
      <c r="M46" s="129">
        <f>-资产负债假设!M37</f>
        <v>-18599.804034435114</v>
      </c>
      <c r="N46" s="129">
        <f>-资产负债假设!N37</f>
        <v>-22898.767021224707</v>
      </c>
      <c r="O46" s="114"/>
      <c r="P46" s="128"/>
      <c r="Q46" s="129"/>
      <c r="R46" s="129"/>
      <c r="S46" s="114"/>
    </row>
    <row r="47" spans="2:19" ht="24.95" customHeight="1" x14ac:dyDescent="0.15">
      <c r="B47" s="120"/>
      <c r="C47" s="127"/>
      <c r="D47" s="128" t="s">
        <v>654</v>
      </c>
      <c r="E47" s="129"/>
      <c r="F47" s="129"/>
      <c r="G47" s="129"/>
      <c r="H47" s="129"/>
      <c r="I47" s="129"/>
      <c r="J47" s="146"/>
      <c r="K47" s="146"/>
      <c r="L47" s="146"/>
      <c r="M47" s="146"/>
      <c r="N47" s="146"/>
      <c r="O47" s="114"/>
      <c r="P47" s="128"/>
      <c r="Q47" s="129"/>
      <c r="R47" s="129"/>
      <c r="S47" s="114"/>
    </row>
    <row r="48" spans="2:19" ht="24.95" customHeight="1" x14ac:dyDescent="0.15">
      <c r="B48" s="120"/>
      <c r="C48" s="127"/>
      <c r="D48" s="128" t="s">
        <v>655</v>
      </c>
      <c r="E48" s="129"/>
      <c r="F48" s="129">
        <v>-10</v>
      </c>
      <c r="G48" s="129">
        <v>-135</v>
      </c>
      <c r="H48" s="129">
        <v>-130</v>
      </c>
      <c r="I48" s="146">
        <v>-50</v>
      </c>
      <c r="J48" s="146"/>
      <c r="K48" s="146"/>
      <c r="L48" s="146"/>
      <c r="M48" s="146"/>
      <c r="N48" s="146"/>
      <c r="O48" s="114"/>
      <c r="P48" s="128"/>
      <c r="Q48" s="129"/>
      <c r="R48" s="129"/>
      <c r="S48" s="114"/>
    </row>
    <row r="49" spans="2:19" ht="24.95" customHeight="1" x14ac:dyDescent="0.15">
      <c r="B49" s="120"/>
      <c r="C49" s="127"/>
      <c r="D49" s="127" t="s">
        <v>656</v>
      </c>
      <c r="E49" s="129">
        <f>SUM(E40:E48)</f>
        <v>12248.4</v>
      </c>
      <c r="F49" s="129">
        <f t="shared" ref="F49:I49" si="4">SUM(F40:F48)</f>
        <v>26056.449999999997</v>
      </c>
      <c r="G49" s="129">
        <f t="shared" si="4"/>
        <v>31822.89</v>
      </c>
      <c r="H49" s="129">
        <f t="shared" si="4"/>
        <v>-26579.58</v>
      </c>
      <c r="I49" s="129">
        <f t="shared" si="4"/>
        <v>-410.72</v>
      </c>
      <c r="J49" s="129">
        <f t="shared" ref="J49:N49" si="5">SUM(J40:J48)-J41-J47</f>
        <v>63471.092551565489</v>
      </c>
      <c r="K49" s="129">
        <f t="shared" si="5"/>
        <v>22187.468343499429</v>
      </c>
      <c r="L49" s="129">
        <f t="shared" si="5"/>
        <v>12742.764508983251</v>
      </c>
      <c r="M49" s="129">
        <f t="shared" si="5"/>
        <v>-16960.009304204152</v>
      </c>
      <c r="N49" s="129">
        <f t="shared" si="5"/>
        <v>-20894.326359710616</v>
      </c>
      <c r="O49" s="114"/>
      <c r="P49" s="128"/>
      <c r="Q49" s="129"/>
      <c r="R49" s="129"/>
      <c r="S49" s="114"/>
    </row>
    <row r="50" spans="2:19" ht="24.95" customHeight="1" x14ac:dyDescent="0.15">
      <c r="B50" s="120"/>
      <c r="C50" s="130"/>
      <c r="D50" s="128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14" t="s">
        <v>473</v>
      </c>
      <c r="P50" s="129"/>
      <c r="Q50" s="129"/>
      <c r="R50" s="129"/>
      <c r="S50" s="114" t="s">
        <v>473</v>
      </c>
    </row>
    <row r="51" spans="2:19" ht="24.95" customHeight="1" x14ac:dyDescent="0.15">
      <c r="B51" s="120"/>
      <c r="C51" s="127" t="s">
        <v>657</v>
      </c>
      <c r="D51" s="128"/>
      <c r="E51" s="129">
        <v>69.03</v>
      </c>
      <c r="F51" s="129">
        <v>0</v>
      </c>
      <c r="G51" s="129"/>
      <c r="H51" s="129">
        <v>-12.19</v>
      </c>
      <c r="I51" s="129">
        <v>-18.43</v>
      </c>
      <c r="J51" s="129"/>
      <c r="K51" s="129"/>
      <c r="L51" s="129"/>
      <c r="M51" s="129"/>
      <c r="N51" s="129"/>
      <c r="O51" s="114"/>
      <c r="P51" s="129"/>
      <c r="Q51" s="129"/>
      <c r="R51" s="129"/>
      <c r="S51" s="114"/>
    </row>
    <row r="52" spans="2:19" ht="24.95" customHeight="1" x14ac:dyDescent="0.15">
      <c r="B52" s="120"/>
      <c r="C52" s="131" t="s">
        <v>367</v>
      </c>
      <c r="D52" s="128"/>
      <c r="E52" s="129">
        <v>6176.41</v>
      </c>
      <c r="F52" s="129">
        <v>793.99</v>
      </c>
      <c r="G52" s="129">
        <v>30883.78</v>
      </c>
      <c r="H52" s="129">
        <v>-45.24</v>
      </c>
      <c r="I52" s="129">
        <v>39436.129999999997</v>
      </c>
      <c r="J52" s="129">
        <f>J27+J38+J49</f>
        <v>90982.647753138386</v>
      </c>
      <c r="K52" s="129">
        <f t="shared" ref="K52:N52" si="6">K27+K38+K49</f>
        <v>26317.201141693797</v>
      </c>
      <c r="L52" s="129">
        <f t="shared" si="6"/>
        <v>93464.354947051164</v>
      </c>
      <c r="M52" s="129">
        <f t="shared" si="6"/>
        <v>89418.872895366876</v>
      </c>
      <c r="N52" s="129">
        <f t="shared" si="6"/>
        <v>119399.17488797613</v>
      </c>
      <c r="O52" s="114">
        <v>0</v>
      </c>
      <c r="P52" s="129"/>
      <c r="Q52" s="129"/>
      <c r="R52" s="129"/>
      <c r="S52" s="114"/>
    </row>
    <row r="53" spans="2:19" ht="24.95" customHeight="1" x14ac:dyDescent="0.15">
      <c r="B53" s="120"/>
      <c r="C53" s="132" t="s">
        <v>658</v>
      </c>
      <c r="D53" s="128"/>
      <c r="E53" s="79">
        <v>3904.35</v>
      </c>
      <c r="F53" s="79">
        <v>10080.76</v>
      </c>
      <c r="G53" s="79">
        <v>10874.75</v>
      </c>
      <c r="H53" s="79">
        <v>41758.53</v>
      </c>
      <c r="I53" s="79">
        <v>41713.29</v>
      </c>
      <c r="J53" s="79">
        <f>BS!H8</f>
        <v>81679.8</v>
      </c>
      <c r="K53" s="79">
        <f>BS!I8</f>
        <v>172662.44775313837</v>
      </c>
      <c r="L53" s="79">
        <f>BS!J8</f>
        <v>198979.64889483218</v>
      </c>
      <c r="M53" s="79">
        <f>BS!K8</f>
        <v>292444.00384188333</v>
      </c>
      <c r="N53" s="79">
        <f>BS!L8</f>
        <v>381862.87673725019</v>
      </c>
      <c r="O53" s="114"/>
      <c r="P53" s="129"/>
      <c r="Q53" s="129"/>
      <c r="R53" s="129"/>
      <c r="S53" s="114"/>
    </row>
    <row r="54" spans="2:19" ht="24.95" customHeight="1" x14ac:dyDescent="0.15">
      <c r="B54" s="120"/>
      <c r="C54" s="128" t="s">
        <v>659</v>
      </c>
      <c r="D54" s="128"/>
      <c r="E54" s="79">
        <v>10080.76</v>
      </c>
      <c r="F54" s="79">
        <v>10874.75</v>
      </c>
      <c r="G54" s="79">
        <v>41758.53</v>
      </c>
      <c r="H54" s="79">
        <v>41713.29</v>
      </c>
      <c r="I54" s="79">
        <v>81149.42</v>
      </c>
      <c r="J54" s="79">
        <f>J53+J52</f>
        <v>172662.44775313837</v>
      </c>
      <c r="K54" s="79">
        <f t="shared" ref="K54:N54" si="7">K53+K52</f>
        <v>198979.64889483218</v>
      </c>
      <c r="L54" s="79">
        <f t="shared" si="7"/>
        <v>292444.00384188333</v>
      </c>
      <c r="M54" s="79">
        <f t="shared" si="7"/>
        <v>381862.87673725019</v>
      </c>
      <c r="N54" s="79">
        <f t="shared" si="7"/>
        <v>501262.05162522633</v>
      </c>
      <c r="O54" s="114"/>
      <c r="P54" s="129"/>
      <c r="Q54" s="129"/>
      <c r="R54" s="129"/>
      <c r="S54" s="114"/>
    </row>
    <row r="55" spans="2:19" ht="24.95" customHeight="1" x14ac:dyDescent="0.15">
      <c r="B55" s="120"/>
      <c r="C55" s="133"/>
      <c r="D55" s="134"/>
      <c r="E55" s="135"/>
      <c r="F55" s="135"/>
      <c r="G55" s="135"/>
      <c r="H55" s="135"/>
      <c r="I55" s="135"/>
      <c r="J55" s="147"/>
      <c r="K55" s="147"/>
      <c r="L55" s="147"/>
      <c r="M55" s="147"/>
      <c r="N55" s="148"/>
      <c r="O55" s="114"/>
      <c r="P55" s="149"/>
      <c r="Q55" s="149"/>
      <c r="R55" s="149"/>
      <c r="S55" s="114"/>
    </row>
    <row r="56" spans="2:19" ht="24.95" customHeight="1" x14ac:dyDescent="0.15">
      <c r="B56" s="120"/>
      <c r="C56" s="402"/>
      <c r="D56" s="403"/>
      <c r="E56" s="403"/>
      <c r="F56" s="403"/>
      <c r="G56" s="403"/>
      <c r="H56" s="403"/>
      <c r="I56" s="403"/>
      <c r="J56" s="403"/>
      <c r="K56" s="403"/>
      <c r="L56" s="403"/>
      <c r="M56" s="403"/>
      <c r="N56" s="404"/>
      <c r="O56" s="114"/>
      <c r="S56" s="114"/>
    </row>
    <row r="57" spans="2:19" ht="24.95" customHeight="1" x14ac:dyDescent="0.15">
      <c r="B57" s="120"/>
      <c r="C57" s="127" t="s">
        <v>660</v>
      </c>
      <c r="D57" s="136"/>
      <c r="E57" s="136"/>
      <c r="F57" s="136"/>
      <c r="G57" s="136"/>
      <c r="H57" s="136"/>
      <c r="I57" s="136"/>
      <c r="J57" s="129"/>
      <c r="K57" s="129"/>
      <c r="L57" s="129"/>
      <c r="M57" s="129" t="s">
        <v>473</v>
      </c>
      <c r="N57" s="129"/>
      <c r="O57" s="114"/>
      <c r="P57" s="136"/>
      <c r="Q57" s="136"/>
      <c r="R57" s="136"/>
      <c r="S57" s="114"/>
    </row>
    <row r="58" spans="2:19" ht="24.95" customHeight="1" x14ac:dyDescent="0.15">
      <c r="B58" s="120"/>
      <c r="C58" s="136"/>
      <c r="D58" s="137" t="s">
        <v>661</v>
      </c>
      <c r="E58" s="137"/>
      <c r="F58" s="137"/>
      <c r="G58" s="137"/>
      <c r="H58" s="137"/>
      <c r="I58" s="137"/>
      <c r="J58" s="129"/>
      <c r="K58" s="129"/>
      <c r="L58" s="129"/>
      <c r="M58" s="129"/>
      <c r="N58" s="129"/>
      <c r="O58" s="114"/>
      <c r="P58" s="137"/>
      <c r="Q58" s="137"/>
      <c r="R58" s="137"/>
      <c r="S58" s="114"/>
    </row>
    <row r="59" spans="2:19" ht="24.95" customHeight="1" x14ac:dyDescent="0.15">
      <c r="B59" s="120"/>
      <c r="C59" s="136"/>
      <c r="D59" s="137" t="s">
        <v>662</v>
      </c>
      <c r="E59" s="137"/>
      <c r="F59" s="137"/>
      <c r="G59" s="137"/>
      <c r="H59" s="137"/>
      <c r="I59" s="137"/>
      <c r="J59" s="129">
        <f>BS!H43</f>
        <v>25000</v>
      </c>
      <c r="K59" s="129">
        <f>BS!I43</f>
        <v>28283.092551565489</v>
      </c>
      <c r="L59" s="129">
        <f>BS!J43</f>
        <v>50470.560895064918</v>
      </c>
      <c r="M59" s="129">
        <f>BS!K43</f>
        <v>63213.32540404817</v>
      </c>
      <c r="N59" s="129">
        <f>BS!L43</f>
        <v>64853.120134279132</v>
      </c>
      <c r="O59" s="114"/>
      <c r="P59" s="137"/>
      <c r="Q59" s="137"/>
      <c r="R59" s="137"/>
      <c r="S59" s="114"/>
    </row>
    <row r="60" spans="2:19" ht="24.95" customHeight="1" x14ac:dyDescent="0.15">
      <c r="B60" s="120"/>
      <c r="C60" s="136"/>
      <c r="D60" s="137" t="s">
        <v>663</v>
      </c>
      <c r="E60" s="137"/>
      <c r="F60" s="137"/>
      <c r="G60" s="137"/>
      <c r="H60" s="137"/>
      <c r="I60" s="137"/>
      <c r="J60" s="129">
        <f>(BS!I22+BS!I25)*资产负债假设!$J$51-BS!H43</f>
        <v>3283.092551565489</v>
      </c>
      <c r="K60" s="129">
        <f>(BS!J22+BS!J25)*资产负债假设!$J$51-BS!I43</f>
        <v>22187.468343499429</v>
      </c>
      <c r="L60" s="129">
        <f>(BS!K22+BS!K25)*资产负债假设!$J$51-BS!J43</f>
        <v>12742.764508983251</v>
      </c>
      <c r="M60" s="129">
        <f>(BS!L22+BS!L25)*资产负债假设!$J$51-BS!K43</f>
        <v>1639.7947302309622</v>
      </c>
      <c r="N60" s="129">
        <f>(BS!M22+BS!M25)*资产负债假设!$J$51-BS!L43</f>
        <v>2004.4406615140906</v>
      </c>
      <c r="O60" s="150"/>
      <c r="P60" s="137"/>
      <c r="Q60" s="137"/>
      <c r="R60" s="137"/>
      <c r="S60" s="150"/>
    </row>
    <row r="61" spans="2:19" ht="24.95" customHeight="1" x14ac:dyDescent="0.15">
      <c r="B61" s="120"/>
      <c r="C61" s="136"/>
      <c r="D61" s="137" t="s">
        <v>664</v>
      </c>
      <c r="E61" s="137"/>
      <c r="F61" s="137"/>
      <c r="G61" s="137"/>
      <c r="H61" s="137"/>
      <c r="I61" s="137"/>
      <c r="J61" s="129">
        <f t="shared" ref="J61:N61" si="8">J59+J60</f>
        <v>28283.092551565489</v>
      </c>
      <c r="K61" s="129">
        <f t="shared" si="8"/>
        <v>50470.560895064918</v>
      </c>
      <c r="L61" s="129">
        <f t="shared" si="8"/>
        <v>63213.32540404817</v>
      </c>
      <c r="M61" s="129">
        <f t="shared" si="8"/>
        <v>64853.120134279132</v>
      </c>
      <c r="N61" s="129">
        <f t="shared" si="8"/>
        <v>66857.560795793222</v>
      </c>
      <c r="O61" s="114"/>
      <c r="P61" s="137"/>
      <c r="Q61" s="137"/>
      <c r="R61" s="137"/>
      <c r="S61" s="114"/>
    </row>
    <row r="62" spans="2:19" ht="24.95" customHeight="1" x14ac:dyDescent="0.15">
      <c r="B62" s="120"/>
      <c r="C62" s="136"/>
      <c r="D62" s="137" t="s">
        <v>665</v>
      </c>
      <c r="E62" s="137"/>
      <c r="F62" s="137"/>
      <c r="G62" s="137"/>
      <c r="H62" s="137"/>
      <c r="I62" s="137"/>
      <c r="J62" s="129">
        <f>资产负债假设!$J$52*(J59+J61)/2*资产负债假设!$J$54</f>
        <v>1598.4927765469647</v>
      </c>
      <c r="K62" s="129">
        <f>资产负债假设!$J$52*(K59+K61)/2*资产负债假设!$J$54</f>
        <v>2362.609603398912</v>
      </c>
      <c r="L62" s="129">
        <f>资产负债假设!$J$52*(L59+L61)/2*资产负债假设!$J$54</f>
        <v>3410.5165889733926</v>
      </c>
      <c r="M62" s="129">
        <f>资产负债假设!$J$52*(M59+M61)/2*资产负债假设!$J$54</f>
        <v>3841.9933661498189</v>
      </c>
      <c r="N62" s="129">
        <f>资产负债假设!$J$52*(N59+N61)/2*资产负债假设!$J$54</f>
        <v>3951.3204279021706</v>
      </c>
      <c r="O62" s="114"/>
      <c r="P62" s="137"/>
      <c r="Q62" s="137"/>
      <c r="R62" s="137"/>
      <c r="S62" s="114"/>
    </row>
    <row r="63" spans="2:19" ht="24.95" customHeight="1" x14ac:dyDescent="0.15">
      <c r="B63" s="120"/>
      <c r="C63" s="136"/>
      <c r="D63" s="137" t="s">
        <v>666</v>
      </c>
      <c r="E63" s="137"/>
      <c r="F63" s="137"/>
      <c r="G63" s="137"/>
      <c r="H63" s="137"/>
      <c r="I63" s="137"/>
      <c r="J63" s="129"/>
      <c r="K63" s="129"/>
      <c r="L63" s="129"/>
      <c r="M63" s="129"/>
      <c r="N63" s="129"/>
      <c r="O63" s="114"/>
      <c r="P63" s="137"/>
      <c r="Q63" s="137"/>
      <c r="R63" s="137"/>
      <c r="S63" s="114"/>
    </row>
    <row r="64" spans="2:19" ht="24.95" customHeight="1" x14ac:dyDescent="0.15">
      <c r="B64" s="120"/>
      <c r="C64" s="136"/>
      <c r="D64" s="137" t="s">
        <v>667</v>
      </c>
      <c r="E64" s="137"/>
      <c r="F64" s="137"/>
      <c r="G64" s="137"/>
      <c r="H64" s="137"/>
      <c r="I64" s="137"/>
      <c r="J64" s="129">
        <f>J53</f>
        <v>81679.8</v>
      </c>
      <c r="K64" s="129">
        <f t="shared" ref="K64:N64" si="9">K53</f>
        <v>172662.44775313837</v>
      </c>
      <c r="L64" s="129">
        <f t="shared" si="9"/>
        <v>198979.64889483218</v>
      </c>
      <c r="M64" s="129">
        <f t="shared" si="9"/>
        <v>292444.00384188333</v>
      </c>
      <c r="N64" s="129">
        <f t="shared" si="9"/>
        <v>381862.87673725019</v>
      </c>
      <c r="O64" s="114"/>
      <c r="P64" s="137"/>
      <c r="Q64" s="137"/>
      <c r="R64" s="137"/>
      <c r="S64" s="114"/>
    </row>
    <row r="65" spans="2:19" ht="24.95" customHeight="1" x14ac:dyDescent="0.15">
      <c r="B65" s="120"/>
      <c r="C65" s="136"/>
      <c r="D65" s="151" t="s">
        <v>668</v>
      </c>
      <c r="E65" s="151"/>
      <c r="F65" s="151"/>
      <c r="G65" s="151"/>
      <c r="H65" s="151"/>
      <c r="I65" s="151"/>
      <c r="J65" s="129"/>
      <c r="K65" s="129"/>
      <c r="L65" s="129"/>
      <c r="M65" s="129"/>
      <c r="N65" s="129"/>
      <c r="O65" s="114"/>
      <c r="P65" s="151"/>
      <c r="Q65" s="151"/>
      <c r="R65" s="151"/>
      <c r="S65" s="114"/>
    </row>
    <row r="66" spans="2:19" ht="24.95" customHeight="1" x14ac:dyDescent="0.15">
      <c r="B66" s="120"/>
      <c r="C66" s="136"/>
      <c r="D66" s="344" t="s">
        <v>669</v>
      </c>
      <c r="E66" s="137"/>
      <c r="F66" s="137"/>
      <c r="G66" s="137"/>
      <c r="H66" s="137"/>
      <c r="I66" s="137"/>
      <c r="J66" s="129">
        <f>J27</f>
        <v>70839.693606010769</v>
      </c>
      <c r="K66" s="129">
        <f t="shared" ref="K66:N66" si="10">K27</f>
        <v>83650.325336690206</v>
      </c>
      <c r="L66" s="129">
        <f t="shared" si="10"/>
        <v>104644.2517391141</v>
      </c>
      <c r="M66" s="129">
        <f t="shared" si="10"/>
        <v>132585.31445470089</v>
      </c>
      <c r="N66" s="129">
        <f t="shared" si="10"/>
        <v>168918.92045044794</v>
      </c>
      <c r="O66" s="114"/>
      <c r="P66" s="137"/>
      <c r="Q66" s="137"/>
      <c r="R66" s="137"/>
      <c r="S66" s="114"/>
    </row>
    <row r="67" spans="2:19" ht="24.95" customHeight="1" x14ac:dyDescent="0.15">
      <c r="B67" s="120"/>
      <c r="C67" s="136"/>
      <c r="D67" s="344" t="s">
        <v>670</v>
      </c>
      <c r="E67" s="137"/>
      <c r="F67" s="137"/>
      <c r="G67" s="137"/>
      <c r="H67" s="137"/>
      <c r="I67" s="137"/>
      <c r="J67" s="129">
        <f>J38</f>
        <v>-43328.138404437879</v>
      </c>
      <c r="K67" s="129">
        <f t="shared" ref="K67:N67" si="11">K38</f>
        <v>-79520.592538495839</v>
      </c>
      <c r="L67" s="129">
        <f t="shared" si="11"/>
        <v>-23922.661301046181</v>
      </c>
      <c r="M67" s="129">
        <f t="shared" si="11"/>
        <v>-26206.432255129846</v>
      </c>
      <c r="N67" s="129">
        <f t="shared" si="11"/>
        <v>-28625.419202761212</v>
      </c>
      <c r="O67" s="114"/>
      <c r="P67" s="137"/>
      <c r="Q67" s="137"/>
      <c r="R67" s="137"/>
      <c r="S67" s="114"/>
    </row>
    <row r="68" spans="2:19" ht="24.95" customHeight="1" x14ac:dyDescent="0.15">
      <c r="B68" s="120"/>
      <c r="C68" s="136"/>
      <c r="D68" s="344" t="s">
        <v>671</v>
      </c>
      <c r="E68" s="137"/>
      <c r="F68" s="137"/>
      <c r="G68" s="137"/>
      <c r="H68" s="137"/>
      <c r="I68" s="137"/>
      <c r="J68" s="129">
        <f>J41+J45+I48+J46+BS!I43-BS!H43</f>
        <v>3233.092551565489</v>
      </c>
      <c r="K68" s="129">
        <f>K41+K45+J48+K46+BS!J43-BS!I43</f>
        <v>22187.468343499429</v>
      </c>
      <c r="L68" s="129">
        <f>L41+L45+K48+L46+BS!K43-BS!J43</f>
        <v>12742.764508983251</v>
      </c>
      <c r="M68" s="129">
        <f>M41+M45+L48+M46+BS!L43-BS!K43</f>
        <v>-16960.009304204155</v>
      </c>
      <c r="N68" s="129">
        <f>N41+N45+M48+N46+BS!M43-BS!L43</f>
        <v>-20894.326359710612</v>
      </c>
      <c r="O68" s="114"/>
      <c r="P68" s="137"/>
      <c r="Q68" s="137"/>
      <c r="R68" s="137"/>
      <c r="S68" s="114"/>
    </row>
    <row r="69" spans="2:19" ht="24.95" customHeight="1" x14ac:dyDescent="0.15">
      <c r="B69" s="120"/>
      <c r="C69" s="136"/>
      <c r="D69" s="137" t="s">
        <v>672</v>
      </c>
      <c r="E69" s="137"/>
      <c r="F69" s="137"/>
      <c r="G69" s="137"/>
      <c r="H69" s="137"/>
      <c r="I69" s="137"/>
      <c r="J69" s="129">
        <f>IS!I7*资产负债假设!$J$46</f>
        <v>58793.088210622715</v>
      </c>
      <c r="K69" s="129">
        <f>IS!J7*资产负债假设!$J$46</f>
        <v>66805.160249488094</v>
      </c>
      <c r="L69" s="129">
        <f>IS!K7*资产负债假设!$J$46</f>
        <v>78079.28754718088</v>
      </c>
      <c r="M69" s="129">
        <f>IS!L7*资产负债假设!$J$46</f>
        <v>93507.192157477009</v>
      </c>
      <c r="N69" s="129">
        <f>IS!M7*资产负债假设!$J$46</f>
        <v>115938.9514610826</v>
      </c>
      <c r="O69" s="114"/>
      <c r="P69" s="137"/>
      <c r="Q69" s="137"/>
      <c r="R69" s="137"/>
      <c r="S69" s="114"/>
    </row>
    <row r="70" spans="2:19" ht="24.95" customHeight="1" x14ac:dyDescent="0.15">
      <c r="B70" s="120"/>
      <c r="C70" s="136"/>
      <c r="D70" s="137" t="s">
        <v>673</v>
      </c>
      <c r="E70" s="137"/>
      <c r="F70" s="137"/>
      <c r="G70" s="137"/>
      <c r="H70" s="137"/>
      <c r="I70" s="137"/>
      <c r="J70" s="129">
        <f>J64+J66+J67+J68-J69-J73</f>
        <v>53631.35954251566</v>
      </c>
      <c r="K70" s="129">
        <f t="shared" ref="K70:N70" si="12">K64+K66+K67+K68-K69-K73</f>
        <v>132174.4886453441</v>
      </c>
      <c r="L70" s="129">
        <f t="shared" si="12"/>
        <v>214364.71629470243</v>
      </c>
      <c r="M70" s="129">
        <f t="shared" si="12"/>
        <v>288355.68457977317</v>
      </c>
      <c r="N70" s="129">
        <f t="shared" si="12"/>
        <v>385323.10016414366</v>
      </c>
      <c r="O70" s="114">
        <v>0</v>
      </c>
      <c r="P70" s="137"/>
      <c r="Q70" s="137"/>
      <c r="R70" s="137"/>
      <c r="S70" s="114"/>
    </row>
    <row r="71" spans="2:19" ht="24.95" customHeight="1" x14ac:dyDescent="0.15">
      <c r="B71" s="120"/>
      <c r="C71" s="136"/>
      <c r="D71" s="137" t="s">
        <v>674</v>
      </c>
      <c r="E71" s="137"/>
      <c r="F71" s="137"/>
      <c r="G71" s="137"/>
      <c r="H71" s="137"/>
      <c r="I71" s="137"/>
      <c r="J71" s="129">
        <f>资产负债假设!$J$49*(BS!I9+BS!I10)</f>
        <v>0</v>
      </c>
      <c r="K71" s="129">
        <f>资产负债假设!$J$49*(BS!J9+BS!J10)</f>
        <v>0</v>
      </c>
      <c r="L71" s="129">
        <f>资产负债假设!$J$49*(BS!K9+BS!K10)</f>
        <v>0</v>
      </c>
      <c r="M71" s="129">
        <f>资产负债假设!$J$49*(BS!L9+BS!L10)</f>
        <v>0</v>
      </c>
      <c r="N71" s="129">
        <f>资产负债假设!$J$49*(BS!M9+BS!M10)</f>
        <v>0</v>
      </c>
      <c r="O71" s="114"/>
      <c r="P71" s="137"/>
      <c r="Q71" s="137"/>
      <c r="R71" s="137"/>
      <c r="S71" s="114"/>
    </row>
    <row r="72" spans="2:19" ht="24.95" customHeight="1" x14ac:dyDescent="0.15">
      <c r="B72" s="120"/>
      <c r="C72" s="136"/>
      <c r="D72" s="137" t="s">
        <v>675</v>
      </c>
      <c r="E72" s="137"/>
      <c r="F72" s="137"/>
      <c r="G72" s="137"/>
      <c r="H72" s="137"/>
      <c r="I72" s="137"/>
      <c r="J72" s="153">
        <f>MAX(-J70,J71)</f>
        <v>0</v>
      </c>
      <c r="K72" s="153">
        <f t="shared" ref="K72:N72" si="13">MAX(-K70,K71)</f>
        <v>0</v>
      </c>
      <c r="L72" s="153">
        <f t="shared" si="13"/>
        <v>0</v>
      </c>
      <c r="M72" s="153">
        <f t="shared" si="13"/>
        <v>0</v>
      </c>
      <c r="N72" s="153">
        <f t="shared" si="13"/>
        <v>0</v>
      </c>
      <c r="O72" s="114"/>
      <c r="P72" s="137"/>
      <c r="Q72" s="137"/>
      <c r="R72" s="137"/>
      <c r="S72" s="114"/>
    </row>
    <row r="73" spans="2:19" ht="24.95" customHeight="1" x14ac:dyDescent="0.15">
      <c r="B73" s="120"/>
      <c r="C73" s="136"/>
      <c r="D73" s="137" t="s">
        <v>676</v>
      </c>
      <c r="E73" s="137"/>
      <c r="F73" s="137"/>
      <c r="G73" s="137"/>
      <c r="H73" s="137"/>
      <c r="I73" s="137"/>
      <c r="J73" s="129">
        <f>BS!H34</f>
        <v>0</v>
      </c>
      <c r="K73" s="129">
        <f>BS!I34</f>
        <v>0</v>
      </c>
      <c r="L73" s="129">
        <f>BS!J34</f>
        <v>0</v>
      </c>
      <c r="M73" s="129">
        <f>BS!K34</f>
        <v>0</v>
      </c>
      <c r="N73" s="129">
        <f>BS!L34</f>
        <v>0</v>
      </c>
      <c r="O73" s="114"/>
      <c r="P73" s="137"/>
      <c r="Q73" s="137"/>
      <c r="R73" s="137"/>
      <c r="S73" s="114"/>
    </row>
    <row r="74" spans="2:19" ht="24.95" customHeight="1" x14ac:dyDescent="0.15">
      <c r="B74" s="120"/>
      <c r="C74" s="136"/>
      <c r="D74" s="137" t="s">
        <v>677</v>
      </c>
      <c r="E74" s="137"/>
      <c r="F74" s="137"/>
      <c r="G74" s="137"/>
      <c r="H74" s="137"/>
      <c r="I74" s="137"/>
      <c r="J74" s="129">
        <f t="shared" ref="J74:N74" si="14">J72-J73</f>
        <v>0</v>
      </c>
      <c r="K74" s="129">
        <f t="shared" si="14"/>
        <v>0</v>
      </c>
      <c r="L74" s="129">
        <f t="shared" si="14"/>
        <v>0</v>
      </c>
      <c r="M74" s="129">
        <f t="shared" si="14"/>
        <v>0</v>
      </c>
      <c r="N74" s="129">
        <f t="shared" si="14"/>
        <v>0</v>
      </c>
      <c r="O74" s="114"/>
      <c r="P74" s="137"/>
      <c r="Q74" s="137"/>
      <c r="R74" s="137"/>
      <c r="S74" s="114"/>
    </row>
    <row r="75" spans="2:19" ht="24.95" customHeight="1" x14ac:dyDescent="0.15">
      <c r="B75" s="120"/>
      <c r="C75" s="136"/>
      <c r="D75" s="137" t="s">
        <v>678</v>
      </c>
      <c r="E75" s="137"/>
      <c r="F75" s="137"/>
      <c r="G75" s="137"/>
      <c r="H75" s="137"/>
      <c r="I75" s="137"/>
      <c r="J75" s="129">
        <f>资产负债假设!$J$50*(J73+J72)/2</f>
        <v>0</v>
      </c>
      <c r="K75" s="129">
        <f>资产负债假设!$J$50*(K73+K72)/2</f>
        <v>0</v>
      </c>
      <c r="L75" s="129">
        <f>资产负债假设!$J$50*(L73+L72)/2</f>
        <v>0</v>
      </c>
      <c r="M75" s="129">
        <f>资产负债假设!$J$50*(M73+M72)/2</f>
        <v>0</v>
      </c>
      <c r="N75" s="129">
        <f>资产负债假设!$J$50*(N73+N72)/2</f>
        <v>0</v>
      </c>
      <c r="O75" s="114"/>
      <c r="P75" s="137"/>
      <c r="Q75" s="137"/>
      <c r="R75" s="137"/>
      <c r="S75" s="114"/>
    </row>
    <row r="76" spans="2:19" ht="24.95" customHeight="1" x14ac:dyDescent="0.15">
      <c r="B76" s="120"/>
      <c r="C76" s="136"/>
      <c r="D76" s="152" t="s">
        <v>679</v>
      </c>
      <c r="E76" s="137"/>
      <c r="F76" s="137"/>
      <c r="G76" s="137"/>
      <c r="H76" s="137"/>
      <c r="I76" s="137"/>
      <c r="J76" s="129">
        <f>J62+J75</f>
        <v>1598.4927765469647</v>
      </c>
      <c r="K76" s="129">
        <f t="shared" ref="K76:N76" si="15">K62+K75</f>
        <v>2362.609603398912</v>
      </c>
      <c r="L76" s="129">
        <f t="shared" si="15"/>
        <v>3410.5165889733926</v>
      </c>
      <c r="M76" s="129">
        <f t="shared" si="15"/>
        <v>3841.9933661498189</v>
      </c>
      <c r="N76" s="129">
        <f t="shared" si="15"/>
        <v>3951.3204279021706</v>
      </c>
      <c r="O76" s="114"/>
      <c r="P76" s="137"/>
      <c r="Q76" s="137"/>
      <c r="R76" s="137"/>
      <c r="S76" s="114"/>
    </row>
    <row r="77" spans="2:19" ht="24.95" customHeight="1" x14ac:dyDescent="0.15">
      <c r="B77" s="120"/>
      <c r="C77" s="136"/>
      <c r="D77" s="137" t="s">
        <v>680</v>
      </c>
      <c r="E77" s="137"/>
      <c r="F77" s="137"/>
      <c r="G77" s="137"/>
      <c r="H77" s="137"/>
      <c r="I77" s="137"/>
      <c r="J77" s="129"/>
      <c r="K77" s="129"/>
      <c r="L77" s="129"/>
      <c r="M77" s="129"/>
      <c r="N77" s="129"/>
      <c r="O77" s="114"/>
      <c r="P77" s="137"/>
      <c r="Q77" s="137"/>
      <c r="R77" s="137"/>
      <c r="S77" s="114"/>
    </row>
    <row r="78" spans="2:19" ht="24.95" customHeight="1" x14ac:dyDescent="0.15">
      <c r="B78" s="120"/>
      <c r="C78" s="136"/>
      <c r="D78" s="137" t="s">
        <v>662</v>
      </c>
      <c r="E78" s="137"/>
      <c r="F78" s="137"/>
      <c r="G78" s="137"/>
      <c r="H78" s="137"/>
      <c r="I78" s="137"/>
      <c r="J78" s="129">
        <f>J53</f>
        <v>81679.8</v>
      </c>
      <c r="K78" s="129">
        <f t="shared" ref="K78:N78" si="16">K53</f>
        <v>172662.44775313837</v>
      </c>
      <c r="L78" s="129">
        <f t="shared" si="16"/>
        <v>198979.64889483218</v>
      </c>
      <c r="M78" s="129">
        <f t="shared" si="16"/>
        <v>292444.00384188333</v>
      </c>
      <c r="N78" s="129">
        <f t="shared" si="16"/>
        <v>381862.87673725019</v>
      </c>
      <c r="O78" s="114"/>
      <c r="P78" s="137"/>
      <c r="Q78" s="137"/>
      <c r="R78" s="137"/>
      <c r="S78" s="114"/>
    </row>
    <row r="79" spans="2:19" ht="24.95" customHeight="1" x14ac:dyDescent="0.15">
      <c r="B79" s="120"/>
      <c r="C79" s="136"/>
      <c r="D79" s="137" t="s">
        <v>664</v>
      </c>
      <c r="E79" s="137"/>
      <c r="F79" s="137"/>
      <c r="G79" s="137"/>
      <c r="H79" s="137"/>
      <c r="I79" s="137"/>
      <c r="J79" s="129">
        <f t="shared" ref="J79:N79" si="17">J54</f>
        <v>172662.44775313837</v>
      </c>
      <c r="K79" s="129">
        <f t="shared" si="17"/>
        <v>198979.64889483218</v>
      </c>
      <c r="L79" s="129">
        <f t="shared" si="17"/>
        <v>292444.00384188333</v>
      </c>
      <c r="M79" s="129">
        <f t="shared" si="17"/>
        <v>381862.87673725019</v>
      </c>
      <c r="N79" s="129">
        <f t="shared" si="17"/>
        <v>501262.05162522633</v>
      </c>
      <c r="O79" s="114"/>
      <c r="P79" s="137"/>
      <c r="Q79" s="137"/>
      <c r="R79" s="137"/>
      <c r="S79" s="114"/>
    </row>
    <row r="80" spans="2:19" ht="24.95" customHeight="1" x14ac:dyDescent="0.15">
      <c r="B80" s="120"/>
      <c r="C80" s="136"/>
      <c r="D80" s="137" t="s">
        <v>681</v>
      </c>
      <c r="E80" s="137"/>
      <c r="F80" s="137"/>
      <c r="G80" s="137"/>
      <c r="H80" s="137"/>
      <c r="I80" s="137"/>
      <c r="J80" s="79">
        <f>资产负债假设!$J$47*(J78+J79)/2</f>
        <v>2289.0802297782452</v>
      </c>
      <c r="K80" s="79">
        <f>资产负债假设!$J$47*(K78+K79)/2</f>
        <v>3344.7788698317349</v>
      </c>
      <c r="L80" s="79">
        <f>资产负债假设!$J$47*(L78+L79)/2</f>
        <v>4422.8128746304392</v>
      </c>
      <c r="M80" s="79">
        <f>资产负债假设!$J$47*(M78+M79)/2</f>
        <v>6068.7619252122013</v>
      </c>
      <c r="N80" s="79">
        <f>资产负债假设!$J$47*(N78+N79)/2</f>
        <v>7948.1243552622882</v>
      </c>
      <c r="O80" s="114"/>
      <c r="P80" s="137"/>
      <c r="Q80" s="137"/>
      <c r="R80" s="137"/>
      <c r="S80" s="114"/>
    </row>
    <row r="81" spans="2:19" ht="24.95" customHeight="1" x14ac:dyDescent="0.15">
      <c r="B81" s="120"/>
      <c r="C81" s="136"/>
      <c r="D81" s="137" t="s">
        <v>682</v>
      </c>
      <c r="E81" s="137"/>
      <c r="F81" s="137"/>
      <c r="G81" s="137"/>
      <c r="H81" s="137"/>
      <c r="I81" s="129"/>
      <c r="J81" s="129">
        <f>J76-J80</f>
        <v>-690.58745323128051</v>
      </c>
      <c r="K81" s="129">
        <f t="shared" ref="K81:R81" si="18">K76-K80</f>
        <v>-982.16926643282295</v>
      </c>
      <c r="L81" s="129">
        <f t="shared" si="18"/>
        <v>-1012.2962856570466</v>
      </c>
      <c r="M81" s="129">
        <f t="shared" si="18"/>
        <v>-2226.7685590623823</v>
      </c>
      <c r="N81" s="129">
        <f t="shared" si="18"/>
        <v>-3996.8039273601175</v>
      </c>
      <c r="O81" s="129">
        <f t="shared" si="18"/>
        <v>0</v>
      </c>
      <c r="P81" s="129">
        <f t="shared" si="18"/>
        <v>0</v>
      </c>
      <c r="Q81" s="129">
        <f t="shared" si="18"/>
        <v>0</v>
      </c>
      <c r="R81" s="129">
        <f t="shared" si="18"/>
        <v>0</v>
      </c>
      <c r="S81" s="150"/>
    </row>
    <row r="82" spans="2:19" ht="6" customHeight="1" x14ac:dyDescent="0.15">
      <c r="B82" s="120"/>
      <c r="C82" s="120"/>
      <c r="D82" s="120"/>
      <c r="E82" s="114"/>
      <c r="F82" s="114"/>
      <c r="G82" s="114"/>
      <c r="H82" s="114"/>
      <c r="I82" s="114"/>
      <c r="J82" s="114"/>
      <c r="K82" s="114"/>
      <c r="L82" s="114" t="s">
        <v>473</v>
      </c>
      <c r="M82" s="114"/>
      <c r="N82" s="114"/>
      <c r="O82" s="114"/>
      <c r="P82" s="114"/>
      <c r="Q82" s="114"/>
      <c r="R82" s="114"/>
      <c r="S82" s="114"/>
    </row>
  </sheetData>
  <mergeCells count="21">
    <mergeCell ref="M42:M43"/>
    <mergeCell ref="N29:N31"/>
    <mergeCell ref="N32:N33"/>
    <mergeCell ref="N36:N37"/>
    <mergeCell ref="N42:N43"/>
    <mergeCell ref="C56:N56"/>
    <mergeCell ref="J29:J31"/>
    <mergeCell ref="J32:J33"/>
    <mergeCell ref="J36:J37"/>
    <mergeCell ref="J42:J43"/>
    <mergeCell ref="K29:K31"/>
    <mergeCell ref="K32:K33"/>
    <mergeCell ref="K36:K37"/>
    <mergeCell ref="K42:K43"/>
    <mergeCell ref="L29:L31"/>
    <mergeCell ref="L32:L33"/>
    <mergeCell ref="L36:L37"/>
    <mergeCell ref="L42:L43"/>
    <mergeCell ref="M29:M31"/>
    <mergeCell ref="M32:M33"/>
    <mergeCell ref="M36:M37"/>
  </mergeCells>
  <phoneticPr fontId="52" type="noConversion"/>
  <pageMargins left="0.7" right="0.7" top="0.75" bottom="0.75" header="0.3" footer="0.3"/>
  <pageSetup paperSize="9" orientation="portrait"/>
  <ignoredErrors>
    <ignoredError sqref="J74" evalError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1454817346722"/>
  </sheetPr>
  <dimension ref="A1:S58"/>
  <sheetViews>
    <sheetView showGridLines="0" tabSelected="1" zoomScale="85" zoomScaleNormal="85" workbookViewId="0">
      <pane ySplit="5" topLeftCell="A6" activePane="bottomLeft" state="frozen"/>
      <selection pane="bottomLeft" activeCell="P10" sqref="P10"/>
    </sheetView>
  </sheetViews>
  <sheetFormatPr defaultColWidth="8.875" defaultRowHeight="13.5" x14ac:dyDescent="0.15"/>
  <cols>
    <col min="1" max="1" width="4.125" style="68" customWidth="1"/>
    <col min="2" max="2" width="0.875" style="68" customWidth="1"/>
    <col min="3" max="3" width="17.5" style="68" customWidth="1"/>
    <col min="4" max="4" width="15.75" style="68" customWidth="1"/>
    <col min="5" max="5" width="13.75" style="68" customWidth="1"/>
    <col min="6" max="6" width="14.125" style="68" customWidth="1"/>
    <col min="7" max="13" width="12.875" style="68" customWidth="1"/>
    <col min="14" max="14" width="0.875" style="68" customWidth="1"/>
    <col min="15" max="16384" width="8.875" style="68"/>
  </cols>
  <sheetData>
    <row r="1" spans="2:19" s="63" customFormat="1" ht="12" customHeight="1" x14ac:dyDescent="0.15"/>
    <row r="2" spans="2:19" s="64" customFormat="1" ht="12" customHeight="1" x14ac:dyDescent="0.15">
      <c r="C2" s="41"/>
      <c r="F2" s="42"/>
      <c r="J2" s="112"/>
      <c r="K2" s="112"/>
      <c r="L2" s="112"/>
      <c r="M2" s="112"/>
    </row>
    <row r="3" spans="2:19" s="64" customFormat="1" ht="12" customHeight="1" x14ac:dyDescent="0.15">
      <c r="C3" s="69"/>
      <c r="D3" s="70"/>
      <c r="E3" s="70"/>
      <c r="F3" s="70"/>
      <c r="G3" s="71"/>
      <c r="H3" s="71"/>
      <c r="I3" s="71"/>
      <c r="J3" s="58"/>
      <c r="K3" s="58"/>
      <c r="L3" s="58"/>
      <c r="M3" s="58"/>
      <c r="N3" s="71"/>
      <c r="O3" s="71"/>
      <c r="P3" s="71"/>
      <c r="Q3" s="71"/>
      <c r="R3" s="71"/>
      <c r="S3" s="71"/>
    </row>
    <row r="4" spans="2:19" s="65" customFormat="1" ht="23.1" customHeight="1" x14ac:dyDescent="0.15">
      <c r="C4" s="72"/>
      <c r="D4" s="73"/>
      <c r="E4" s="73"/>
      <c r="F4" s="73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2:19" s="65" customFormat="1" ht="6" customHeight="1" x14ac:dyDescent="0.15">
      <c r="B5" s="64"/>
      <c r="C5" s="69"/>
      <c r="D5" s="70"/>
      <c r="E5" s="70"/>
      <c r="F5" s="70"/>
      <c r="G5" s="71"/>
      <c r="H5" s="71"/>
      <c r="I5" s="71"/>
      <c r="J5" s="71"/>
      <c r="K5" s="71"/>
      <c r="L5" s="71"/>
      <c r="M5" s="71"/>
      <c r="N5" s="71"/>
      <c r="O5" s="74"/>
      <c r="P5" s="74"/>
      <c r="Q5" s="74"/>
      <c r="R5" s="74"/>
      <c r="S5" s="74"/>
    </row>
    <row r="6" spans="2:19" s="66" customFormat="1" ht="24.95" customHeight="1" x14ac:dyDescent="0.15">
      <c r="B6" s="75"/>
      <c r="C6" s="76" t="s">
        <v>519</v>
      </c>
      <c r="D6" s="77">
        <v>2018</v>
      </c>
      <c r="E6" s="77" t="s">
        <v>28</v>
      </c>
      <c r="F6" s="77" t="s">
        <v>29</v>
      </c>
      <c r="G6" s="77" t="s">
        <v>30</v>
      </c>
      <c r="H6" s="77" t="s">
        <v>31</v>
      </c>
      <c r="I6" s="77" t="s">
        <v>32</v>
      </c>
      <c r="J6" s="81"/>
      <c r="K6" s="81"/>
      <c r="L6" s="81"/>
      <c r="M6" s="81"/>
      <c r="N6" s="75"/>
    </row>
    <row r="7" spans="2:19" s="66" customFormat="1" ht="24.95" customHeight="1" x14ac:dyDescent="0.15">
      <c r="B7" s="75"/>
      <c r="C7" s="78" t="s">
        <v>151</v>
      </c>
      <c r="D7" s="79">
        <f>IS!H34</f>
        <v>30385.98</v>
      </c>
      <c r="E7" s="79">
        <f>IS!I34</f>
        <v>36607.543243905267</v>
      </c>
      <c r="F7" s="79">
        <f>IS!J34</f>
        <v>42897.636600892183</v>
      </c>
      <c r="G7" s="79">
        <f>IS!K34</f>
        <v>51496.642814996405</v>
      </c>
      <c r="H7" s="79">
        <f>IS!L34</f>
        <v>61999.346781450382</v>
      </c>
      <c r="I7" s="79">
        <f>IS!M34</f>
        <v>76329.223404082353</v>
      </c>
      <c r="J7" s="81"/>
      <c r="K7" s="81"/>
      <c r="L7" s="81"/>
      <c r="M7" s="81"/>
      <c r="N7" s="75"/>
    </row>
    <row r="8" spans="2:19" s="66" customFormat="1" ht="24.95" customHeight="1" x14ac:dyDescent="0.15">
      <c r="B8" s="75"/>
      <c r="C8" s="78" t="s">
        <v>683</v>
      </c>
      <c r="D8" s="79">
        <f>IS!H32</f>
        <v>9796.7999999999993</v>
      </c>
      <c r="E8" s="79">
        <f>IS!I32</f>
        <v>12240.171997851638</v>
      </c>
      <c r="F8" s="79">
        <f>IS!J32</f>
        <v>14343.340300053453</v>
      </c>
      <c r="G8" s="79">
        <f>IS!K32</f>
        <v>17218.521362326846</v>
      </c>
      <c r="H8" s="79">
        <f>IS!L32</f>
        <v>20730.226644907321</v>
      </c>
      <c r="I8" s="79">
        <f>IS!M32</f>
        <v>25521.593096361579</v>
      </c>
      <c r="J8" s="81"/>
      <c r="K8" s="81"/>
      <c r="L8" s="81"/>
      <c r="M8" s="81"/>
      <c r="N8" s="75"/>
    </row>
    <row r="9" spans="2:19" s="66" customFormat="1" ht="24.95" customHeight="1" x14ac:dyDescent="0.15">
      <c r="B9" s="75"/>
      <c r="C9" s="78" t="s">
        <v>684</v>
      </c>
      <c r="D9" s="79">
        <f>CS!I81</f>
        <v>0</v>
      </c>
      <c r="E9" s="79">
        <f>CS!J81</f>
        <v>-690.58745323128051</v>
      </c>
      <c r="F9" s="79">
        <f>CS!K81</f>
        <v>-982.16926643282295</v>
      </c>
      <c r="G9" s="79">
        <f>CS!L81</f>
        <v>-1012.2962856570466</v>
      </c>
      <c r="H9" s="79">
        <f>CS!M81</f>
        <v>-2226.7685590623823</v>
      </c>
      <c r="I9" s="79">
        <f>CS!N81</f>
        <v>-3996.8039273601175</v>
      </c>
      <c r="J9" s="81"/>
      <c r="K9" s="81"/>
      <c r="L9" s="81"/>
      <c r="M9" s="81"/>
      <c r="N9" s="75"/>
    </row>
    <row r="10" spans="2:19" s="66" customFormat="1" ht="24.95" customHeight="1" x14ac:dyDescent="0.15">
      <c r="B10" s="75"/>
      <c r="C10" s="78" t="s">
        <v>685</v>
      </c>
      <c r="D10" s="79">
        <f>SUM(D7:D9)</f>
        <v>40182.78</v>
      </c>
      <c r="E10" s="79">
        <f t="shared" ref="E10:I10" si="0">SUM(E7:E9)</f>
        <v>48157.12778852562</v>
      </c>
      <c r="F10" s="79">
        <f t="shared" si="0"/>
        <v>56258.807634512814</v>
      </c>
      <c r="G10" s="79">
        <f t="shared" si="0"/>
        <v>67702.867891666203</v>
      </c>
      <c r="H10" s="79">
        <f t="shared" si="0"/>
        <v>80502.804867295315</v>
      </c>
      <c r="I10" s="79">
        <f t="shared" si="0"/>
        <v>97854.012573083819</v>
      </c>
      <c r="J10" s="81"/>
      <c r="K10" s="81"/>
      <c r="L10" s="81"/>
      <c r="M10" s="81"/>
      <c r="N10" s="75"/>
    </row>
    <row r="11" spans="2:19" s="66" customFormat="1" ht="24.95" customHeight="1" x14ac:dyDescent="0.15">
      <c r="B11" s="75"/>
      <c r="C11" s="78" t="s">
        <v>686</v>
      </c>
      <c r="D11" s="78"/>
      <c r="E11" s="80">
        <f>E10/D10-1</f>
        <v>0.1984518688982102</v>
      </c>
      <c r="F11" s="80">
        <f t="shared" ref="F11:I11" si="1">F10/E10-1</f>
        <v>0.16823428260847351</v>
      </c>
      <c r="G11" s="80">
        <f t="shared" si="1"/>
        <v>0.20341810888528067</v>
      </c>
      <c r="H11" s="80">
        <f t="shared" si="1"/>
        <v>0.18906048405675735</v>
      </c>
      <c r="I11" s="80">
        <f t="shared" si="1"/>
        <v>0.2155354429499825</v>
      </c>
      <c r="J11" s="81"/>
      <c r="K11" s="81"/>
      <c r="L11" s="81"/>
      <c r="M11" s="81"/>
      <c r="N11" s="75"/>
    </row>
    <row r="12" spans="2:19" s="66" customFormat="1" ht="24.95" customHeight="1" x14ac:dyDescent="0.15">
      <c r="B12" s="75"/>
      <c r="C12" s="78" t="s">
        <v>687</v>
      </c>
      <c r="D12" s="79">
        <f>D10*IS!H32/IS!H30</f>
        <v>9796.7999999999993</v>
      </c>
      <c r="E12" s="79">
        <f>E10*IS!I32/IS!I30</f>
        <v>12067.125844817168</v>
      </c>
      <c r="F12" s="79">
        <f>F10*IS!J32/IS!J30</f>
        <v>14097.230104466154</v>
      </c>
      <c r="G12" s="79">
        <f>G10*IS!K32/IS!K30</f>
        <v>16964.861992837305</v>
      </c>
      <c r="H12" s="79">
        <f>H10*IS!L32/IS!L30</f>
        <v>20172.247013159216</v>
      </c>
      <c r="I12" s="79">
        <f>I10*IS!M32/IS!M30</f>
        <v>24520.081208436946</v>
      </c>
      <c r="J12" s="81"/>
      <c r="K12" s="81"/>
      <c r="L12" s="81"/>
      <c r="M12" s="81"/>
      <c r="N12" s="75"/>
    </row>
    <row r="13" spans="2:19" s="66" customFormat="1" ht="24.95" customHeight="1" x14ac:dyDescent="0.15">
      <c r="B13" s="75"/>
      <c r="C13" s="78" t="s">
        <v>688</v>
      </c>
      <c r="D13" s="79">
        <f>D10-D12</f>
        <v>30385.98</v>
      </c>
      <c r="E13" s="79">
        <f t="shared" ref="E13:I13" si="2">E10-E12</f>
        <v>36090.001943708456</v>
      </c>
      <c r="F13" s="79">
        <f t="shared" si="2"/>
        <v>42161.577530046663</v>
      </c>
      <c r="G13" s="79">
        <f t="shared" si="2"/>
        <v>50738.005898828895</v>
      </c>
      <c r="H13" s="79">
        <f t="shared" si="2"/>
        <v>60330.557854136103</v>
      </c>
      <c r="I13" s="79">
        <f t="shared" si="2"/>
        <v>73333.93136464688</v>
      </c>
      <c r="J13" s="113"/>
      <c r="K13" s="113"/>
      <c r="L13" s="113"/>
      <c r="M13" s="81"/>
      <c r="N13" s="75"/>
    </row>
    <row r="14" spans="2:19" s="66" customFormat="1" ht="24.95" customHeight="1" x14ac:dyDescent="0.15">
      <c r="B14" s="75"/>
      <c r="C14" s="78" t="s">
        <v>689</v>
      </c>
      <c r="D14" s="79">
        <f>资本开支假设!F91+资本开支假设!F92+资本开支假设!F93</f>
        <v>7152.3</v>
      </c>
      <c r="E14" s="79">
        <f>资本开支假设!G91+资本开支假设!G92+资本开支假设!G93</f>
        <v>5568.2266499999996</v>
      </c>
      <c r="F14" s="79">
        <f>资本开支假设!H91+资本开支假设!H92+资本开支假设!H93</f>
        <v>10308.986393999998</v>
      </c>
      <c r="G14" s="79">
        <f>资本开支假设!I91+资本开支假设!I92+资本开支假设!I93</f>
        <v>15469.014096339999</v>
      </c>
      <c r="H14" s="79">
        <f>资本开支假设!J91+资本开支假设!J92+资本开支假设!J93</f>
        <v>17635.391161102398</v>
      </c>
      <c r="I14" s="79">
        <f>资本开支假设!K91+资本开支假设!K92+资本开支假设!K93</f>
        <v>17696.883112973061</v>
      </c>
      <c r="J14" s="81"/>
      <c r="K14" s="81"/>
      <c r="L14" s="81"/>
      <c r="M14" s="81"/>
      <c r="N14" s="75"/>
    </row>
    <row r="15" spans="2:19" s="66" customFormat="1" ht="24.95" customHeight="1" x14ac:dyDescent="0.15">
      <c r="B15" s="75"/>
      <c r="C15" s="78" t="s">
        <v>690</v>
      </c>
      <c r="D15" s="79">
        <f>资本开支假设!F94+资本开支假设!F95</f>
        <v>2092.5551489999998</v>
      </c>
      <c r="E15" s="79">
        <f>资本开支假设!G94+资本开支假设!G95</f>
        <v>2039.9128463863233</v>
      </c>
      <c r="F15" s="79">
        <f>资本开支假设!H94+资本开支假设!H95</f>
        <v>3199.8407542612204</v>
      </c>
      <c r="G15" s="79">
        <f>资本开支假设!I94+资本开支假设!I95</f>
        <v>4079.8583772691218</v>
      </c>
      <c r="H15" s="79">
        <f>资本开支假设!J94+资本开支假设!J95</f>
        <v>4538.6112896144959</v>
      </c>
      <c r="I15" s="79">
        <f>资本开支假设!K94+资本开支假设!K95</f>
        <v>5084.7709965311415</v>
      </c>
      <c r="J15" s="81"/>
      <c r="K15" s="81"/>
      <c r="L15" s="81"/>
      <c r="M15" s="81"/>
      <c r="N15" s="75"/>
    </row>
    <row r="16" spans="2:19" s="66" customFormat="1" ht="24.95" customHeight="1" x14ac:dyDescent="0.15">
      <c r="B16" s="75"/>
      <c r="C16" s="78" t="s">
        <v>691</v>
      </c>
      <c r="D16" s="79">
        <f>BS!H62-BS!G62</f>
        <v>-31166.870000000039</v>
      </c>
      <c r="E16" s="79">
        <f>BS!I62-BS!H62</f>
        <v>-26237.276721230359</v>
      </c>
      <c r="F16" s="79">
        <f>BS!J62-BS!I62</f>
        <v>-26973.325180779328</v>
      </c>
      <c r="G16" s="79">
        <f>BS!K62-BS!J62</f>
        <v>-33203.824918711092</v>
      </c>
      <c r="H16" s="79">
        <f>BS!L62-BS!K62</f>
        <v>-47820.061150331574</v>
      </c>
      <c r="I16" s="79">
        <f>BS!M62-BS!L62</f>
        <v>-68908.017248838209</v>
      </c>
      <c r="M16" s="81"/>
      <c r="N16" s="75"/>
    </row>
    <row r="17" spans="2:14" s="66" customFormat="1" ht="24.95" customHeight="1" x14ac:dyDescent="0.15">
      <c r="B17" s="75"/>
      <c r="C17" s="78" t="s">
        <v>692</v>
      </c>
      <c r="D17" s="79">
        <f>资本开支假设!F13</f>
        <v>13092.205148999999</v>
      </c>
      <c r="E17" s="79">
        <f>资本开支假设!G13</f>
        <v>43328.138404437872</v>
      </c>
      <c r="F17" s="79">
        <f>资本开支假设!H13</f>
        <v>79520.59253849581</v>
      </c>
      <c r="G17" s="79">
        <f>资本开支假设!I13</f>
        <v>23922.661301046184</v>
      </c>
      <c r="H17" s="79">
        <f>资本开支假设!J13</f>
        <v>26206.432255129861</v>
      </c>
      <c r="I17" s="79">
        <f>资本开支假设!K13</f>
        <v>28625.419202761223</v>
      </c>
      <c r="J17" s="113"/>
      <c r="K17" s="113"/>
      <c r="L17" s="113"/>
      <c r="M17" s="81"/>
      <c r="N17" s="75"/>
    </row>
    <row r="18" spans="2:14" s="66" customFormat="1" ht="24.95" customHeight="1" x14ac:dyDescent="0.15">
      <c r="B18" s="75"/>
      <c r="C18" s="78" t="s">
        <v>693</v>
      </c>
      <c r="D18" s="79">
        <f t="shared" ref="D18:I18" si="3">D13+D14+D15-D16-D17</f>
        <v>57705.500000000044</v>
      </c>
      <c r="E18" s="79">
        <f t="shared" si="3"/>
        <v>26607.279756887256</v>
      </c>
      <c r="F18" s="79">
        <f t="shared" si="3"/>
        <v>3123.1373205913987</v>
      </c>
      <c r="G18" s="79">
        <f t="shared" si="3"/>
        <v>79568.041990102924</v>
      </c>
      <c r="H18" s="79">
        <f t="shared" si="3"/>
        <v>104118.18920005471</v>
      </c>
      <c r="I18" s="79">
        <f t="shared" si="3"/>
        <v>136398.18352022805</v>
      </c>
      <c r="J18" s="99"/>
      <c r="K18" s="99"/>
      <c r="L18" s="99"/>
      <c r="M18" s="99"/>
      <c r="N18" s="75"/>
    </row>
    <row r="19" spans="2:14" s="66" customFormat="1" ht="24.95" customHeight="1" x14ac:dyDescent="0.15">
      <c r="B19" s="75"/>
      <c r="C19" s="78" t="s">
        <v>686</v>
      </c>
      <c r="D19" s="78"/>
      <c r="E19" s="80">
        <f>E18/D18-1</f>
        <v>-0.53891258620257632</v>
      </c>
      <c r="F19" s="80">
        <f t="shared" ref="F19:I19" si="4">F18/E18-1</f>
        <v>-0.88262094625501963</v>
      </c>
      <c r="G19" s="80">
        <f t="shared" si="4"/>
        <v>24.47695916714795</v>
      </c>
      <c r="H19" s="80">
        <f t="shared" si="4"/>
        <v>0.30854280934807288</v>
      </c>
      <c r="I19" s="80">
        <f t="shared" si="4"/>
        <v>0.31003222941334418</v>
      </c>
      <c r="J19" s="81"/>
      <c r="K19" s="81"/>
      <c r="L19" s="81"/>
      <c r="M19" s="81"/>
      <c r="N19" s="75"/>
    </row>
    <row r="20" spans="2:14" s="66" customFormat="1" ht="24.95" customHeight="1" x14ac:dyDescent="0.15">
      <c r="B20" s="75"/>
      <c r="C20" s="81"/>
      <c r="D20" s="81"/>
      <c r="E20" s="82"/>
      <c r="F20" s="82"/>
      <c r="G20" s="82"/>
      <c r="H20" s="82"/>
      <c r="I20" s="82"/>
      <c r="J20" s="81"/>
      <c r="K20" s="81"/>
      <c r="L20" s="81"/>
      <c r="M20" s="81"/>
      <c r="N20" s="75"/>
    </row>
    <row r="21" spans="2:14" s="66" customFormat="1" ht="24.95" customHeight="1" x14ac:dyDescent="0.15">
      <c r="B21" s="75"/>
      <c r="C21" s="76" t="s">
        <v>519</v>
      </c>
      <c r="D21" s="77" t="s">
        <v>694</v>
      </c>
      <c r="E21" s="77" t="s">
        <v>695</v>
      </c>
      <c r="F21" s="77" t="s">
        <v>696</v>
      </c>
      <c r="G21" s="77" t="s">
        <v>697</v>
      </c>
      <c r="H21" s="77" t="s">
        <v>698</v>
      </c>
      <c r="I21" s="77" t="s">
        <v>699</v>
      </c>
      <c r="J21" s="77" t="s">
        <v>700</v>
      </c>
      <c r="K21" s="77" t="s">
        <v>701</v>
      </c>
      <c r="L21" s="346" t="s">
        <v>747</v>
      </c>
      <c r="M21" s="346" t="s">
        <v>748</v>
      </c>
      <c r="N21" s="75"/>
    </row>
    <row r="22" spans="2:14" s="66" customFormat="1" ht="24.95" customHeight="1" x14ac:dyDescent="0.15">
      <c r="B22" s="75"/>
      <c r="C22" s="78" t="s">
        <v>702</v>
      </c>
      <c r="D22" s="83">
        <f>I18*(1+18%)</f>
        <v>160949.85655386909</v>
      </c>
      <c r="E22" s="83">
        <f>D22*(1+15%)</f>
        <v>185092.33503694943</v>
      </c>
      <c r="F22" s="83">
        <f>E22*(1+12%)</f>
        <v>207303.41524138339</v>
      </c>
      <c r="G22" s="83">
        <f>F22*(1+9%)</f>
        <v>225960.72261310791</v>
      </c>
      <c r="H22" s="83">
        <f>G22*(1+8%)</f>
        <v>244037.58042215655</v>
      </c>
      <c r="I22" s="83">
        <f>H22*(1+7%)</f>
        <v>261120.21105170753</v>
      </c>
      <c r="J22" s="83">
        <f>I22*(1+6%)</f>
        <v>276787.42371480999</v>
      </c>
      <c r="K22" s="83">
        <f>J22*(1+5%)</f>
        <v>290626.79490055051</v>
      </c>
      <c r="L22" s="83">
        <f>K22*(1+4%)</f>
        <v>302251.86669657251</v>
      </c>
      <c r="M22" s="83">
        <f>L22*(1+3%)</f>
        <v>311319.42269746971</v>
      </c>
      <c r="N22" s="75"/>
    </row>
    <row r="23" spans="2:14" s="66" customFormat="1" ht="24.95" customHeight="1" x14ac:dyDescent="0.15">
      <c r="B23" s="75"/>
      <c r="C23" s="81"/>
      <c r="N23" s="75"/>
    </row>
    <row r="24" spans="2:14" s="66" customFormat="1" ht="24.95" customHeight="1" x14ac:dyDescent="0.15">
      <c r="B24" s="75"/>
      <c r="C24" s="410" t="s">
        <v>703</v>
      </c>
      <c r="D24" s="411"/>
      <c r="E24" s="411"/>
      <c r="F24" s="411"/>
      <c r="G24" s="412"/>
      <c r="N24" s="75"/>
    </row>
    <row r="25" spans="2:14" s="66" customFormat="1" ht="24.95" customHeight="1" x14ac:dyDescent="0.15">
      <c r="B25" s="75"/>
      <c r="C25" s="78" t="s">
        <v>704</v>
      </c>
      <c r="D25" s="84">
        <f>D28*(1-D32)+D27*D32</f>
        <v>0.11764000000000001</v>
      </c>
      <c r="E25" s="85"/>
      <c r="F25" s="347" t="s">
        <v>751</v>
      </c>
      <c r="G25" s="78" t="s">
        <v>705</v>
      </c>
      <c r="J25" s="101"/>
      <c r="K25" s="101"/>
      <c r="L25" s="101"/>
      <c r="M25" s="101"/>
      <c r="N25" s="75"/>
    </row>
    <row r="26" spans="2:14" s="66" customFormat="1" ht="24.95" customHeight="1" x14ac:dyDescent="0.15">
      <c r="B26" s="75"/>
      <c r="C26" s="78" t="s">
        <v>706</v>
      </c>
      <c r="D26" s="86">
        <v>2.5000000000000001E-2</v>
      </c>
      <c r="E26" s="85"/>
      <c r="F26" s="87">
        <v>43829</v>
      </c>
      <c r="G26" s="88">
        <f ca="1">TODAY()</f>
        <v>43798</v>
      </c>
      <c r="N26" s="75"/>
    </row>
    <row r="27" spans="2:14" s="66" customFormat="1" ht="24.95" customHeight="1" x14ac:dyDescent="0.15">
      <c r="B27" s="75"/>
      <c r="C27" s="78" t="s">
        <v>707</v>
      </c>
      <c r="D27" s="89">
        <f>5%*(1-25%)</f>
        <v>3.7500000000000006E-2</v>
      </c>
      <c r="E27" s="80"/>
      <c r="F27" s="78"/>
      <c r="G27" s="78"/>
      <c r="N27" s="75"/>
    </row>
    <row r="28" spans="2:14" s="66" customFormat="1" ht="24.95" customHeight="1" x14ac:dyDescent="0.15">
      <c r="B28" s="75"/>
      <c r="C28" s="78" t="s">
        <v>708</v>
      </c>
      <c r="D28" s="90">
        <f>D29+D31*D30</f>
        <v>0.11764000000000001</v>
      </c>
      <c r="E28" s="91"/>
      <c r="F28" s="78"/>
      <c r="G28" s="78"/>
      <c r="N28" s="75"/>
    </row>
    <row r="29" spans="2:14" s="66" customFormat="1" ht="24.95" customHeight="1" x14ac:dyDescent="0.15">
      <c r="B29" s="75"/>
      <c r="C29" s="78" t="s">
        <v>709</v>
      </c>
      <c r="D29" s="86">
        <v>0.03</v>
      </c>
      <c r="E29" s="85"/>
      <c r="F29" s="78"/>
      <c r="G29" s="92"/>
      <c r="N29" s="75"/>
    </row>
    <row r="30" spans="2:14" s="66" customFormat="1" ht="24.95" customHeight="1" x14ac:dyDescent="0.15">
      <c r="B30" s="75"/>
      <c r="C30" s="78" t="s">
        <v>710</v>
      </c>
      <c r="D30" s="86">
        <v>7.0000000000000007E-2</v>
      </c>
      <c r="E30" s="85"/>
      <c r="F30" s="78" t="s">
        <v>473</v>
      </c>
      <c r="G30" s="78"/>
      <c r="N30" s="75"/>
    </row>
    <row r="31" spans="2:14" s="66" customFormat="1" ht="24.95" customHeight="1" x14ac:dyDescent="0.15">
      <c r="B31" s="75"/>
      <c r="C31" s="78" t="s">
        <v>711</v>
      </c>
      <c r="D31" s="93">
        <v>1.252</v>
      </c>
      <c r="E31" s="94"/>
      <c r="F31" s="78" t="s">
        <v>712</v>
      </c>
      <c r="G31" s="78" t="s">
        <v>713</v>
      </c>
      <c r="H31" s="95"/>
      <c r="I31" s="95"/>
      <c r="N31" s="75"/>
    </row>
    <row r="32" spans="2:14" s="66" customFormat="1" ht="24.95" customHeight="1" x14ac:dyDescent="0.15">
      <c r="B32" s="75"/>
      <c r="C32" s="78" t="s">
        <v>714</v>
      </c>
      <c r="D32" s="86">
        <v>0</v>
      </c>
      <c r="E32" s="85"/>
      <c r="F32" s="348" t="s">
        <v>750</v>
      </c>
      <c r="G32" s="347" t="s">
        <v>749</v>
      </c>
      <c r="N32" s="75"/>
    </row>
    <row r="33" spans="2:14" s="66" customFormat="1" ht="24.95" customHeight="1" x14ac:dyDescent="0.15">
      <c r="B33" s="75"/>
      <c r="C33" s="81"/>
      <c r="D33" s="96"/>
      <c r="E33" s="96"/>
      <c r="N33" s="75"/>
    </row>
    <row r="34" spans="2:14" s="66" customFormat="1" ht="24.95" customHeight="1" x14ac:dyDescent="0.15">
      <c r="B34" s="75"/>
      <c r="C34" s="410" t="s">
        <v>715</v>
      </c>
      <c r="D34" s="411"/>
      <c r="E34" s="411"/>
      <c r="F34" s="411"/>
      <c r="G34" s="411"/>
      <c r="H34" s="411"/>
      <c r="I34" s="412"/>
      <c r="N34" s="75"/>
    </row>
    <row r="35" spans="2:14" s="66" customFormat="1" ht="24.95" customHeight="1" x14ac:dyDescent="0.15">
      <c r="B35" s="75"/>
      <c r="C35" s="78" t="s">
        <v>716</v>
      </c>
      <c r="D35" s="78"/>
      <c r="E35" s="97">
        <f>1/(1+$D$25)^(LEFT(E6,4)-LEFT($E$6,4))</f>
        <v>1</v>
      </c>
      <c r="F35" s="97">
        <f t="shared" ref="F35:I35" si="5">1/(1+$D$25)^(LEFT(F6,4)-LEFT($E$6,4))</f>
        <v>0.89474249311048282</v>
      </c>
      <c r="G35" s="97">
        <f t="shared" si="5"/>
        <v>0.80056412897756246</v>
      </c>
      <c r="H35" s="97">
        <f t="shared" si="5"/>
        <v>0.71629874465620624</v>
      </c>
      <c r="I35" s="97">
        <f t="shared" si="5"/>
        <v>0.64090292460560327</v>
      </c>
      <c r="N35" s="75"/>
    </row>
    <row r="36" spans="2:14" s="66" customFormat="1" ht="24.95" customHeight="1" x14ac:dyDescent="0.15">
      <c r="B36" s="75"/>
      <c r="C36" s="78" t="s">
        <v>717</v>
      </c>
      <c r="D36" s="78"/>
      <c r="E36" s="79">
        <f>E18*E35</f>
        <v>26607.279756887256</v>
      </c>
      <c r="F36" s="79">
        <f t="shared" ref="F36:I36" si="6">F18*F35</f>
        <v>2794.4036725523415</v>
      </c>
      <c r="G36" s="79">
        <f t="shared" si="6"/>
        <v>63699.320230256861</v>
      </c>
      <c r="H36" s="79">
        <f t="shared" si="6"/>
        <v>74579.728219876561</v>
      </c>
      <c r="I36" s="79">
        <f t="shared" si="6"/>
        <v>87417.99472900595</v>
      </c>
      <c r="N36" s="75"/>
    </row>
    <row r="37" spans="2:14" s="66" customFormat="1" ht="24.95" customHeight="1" x14ac:dyDescent="0.15">
      <c r="B37" s="75"/>
      <c r="C37" s="78" t="s">
        <v>716</v>
      </c>
      <c r="D37" s="98">
        <f>1/(1+$D$25)^(LEFT(D21,4)-LEFT($E$6,4))</f>
        <v>0.5734430806034172</v>
      </c>
      <c r="E37" s="98">
        <f t="shared" ref="E37:M37" si="7">1/(1+$D$25)^(LEFT(E21,4)-LEFT($E$6,4))</f>
        <v>0.51308389159605716</v>
      </c>
      <c r="F37" s="98">
        <f t="shared" si="7"/>
        <v>0.45907796034148485</v>
      </c>
      <c r="G37" s="98">
        <f t="shared" si="7"/>
        <v>0.41075655876801553</v>
      </c>
      <c r="H37" s="98">
        <f t="shared" si="7"/>
        <v>0.36752134745357679</v>
      </c>
      <c r="I37" s="98">
        <f t="shared" si="7"/>
        <v>0.32883696669193729</v>
      </c>
      <c r="J37" s="98">
        <f t="shared" si="7"/>
        <v>0.29422440740483274</v>
      </c>
      <c r="K37" s="98">
        <f t="shared" si="7"/>
        <v>0.26325507981535451</v>
      </c>
      <c r="L37" s="98">
        <f t="shared" si="7"/>
        <v>0.23554550643798944</v>
      </c>
      <c r="M37" s="98">
        <f t="shared" si="7"/>
        <v>0.21075257367129796</v>
      </c>
      <c r="N37" s="75"/>
    </row>
    <row r="38" spans="2:14" s="66" customFormat="1" ht="24.95" customHeight="1" x14ac:dyDescent="0.15">
      <c r="B38" s="75"/>
      <c r="C38" s="78" t="s">
        <v>718</v>
      </c>
      <c r="D38" s="83">
        <f>D37*D22</f>
        <v>92295.581564928783</v>
      </c>
      <c r="E38" s="83">
        <f t="shared" ref="E38:M38" si="8">E37*E22</f>
        <v>94967.895565359257</v>
      </c>
      <c r="F38" s="83">
        <f t="shared" si="8"/>
        <v>95168.429040838178</v>
      </c>
      <c r="G38" s="83">
        <f t="shared" si="8"/>
        <v>92814.84883729431</v>
      </c>
      <c r="H38" s="83">
        <f t="shared" si="8"/>
        <v>89689.020386061587</v>
      </c>
      <c r="I38" s="83">
        <f t="shared" si="8"/>
        <v>85865.978144201988</v>
      </c>
      <c r="J38" s="83">
        <f t="shared" si="8"/>
        <v>81437.615719600319</v>
      </c>
      <c r="K38" s="83">
        <f t="shared" si="8"/>
        <v>76508.980088025084</v>
      </c>
      <c r="L38" s="83">
        <f t="shared" si="8"/>
        <v>71194.069012871842</v>
      </c>
      <c r="M38" s="83">
        <f t="shared" si="8"/>
        <v>65611.369567354428</v>
      </c>
      <c r="N38" s="75"/>
    </row>
    <row r="39" spans="2:14" s="66" customFormat="1" ht="24.95" customHeight="1" x14ac:dyDescent="0.15">
      <c r="B39" s="75"/>
      <c r="C39" s="81"/>
      <c r="D39" s="81"/>
      <c r="E39" s="99"/>
      <c r="F39" s="99"/>
      <c r="G39" s="99"/>
      <c r="H39" s="99"/>
      <c r="I39" s="99"/>
      <c r="N39" s="75"/>
    </row>
    <row r="40" spans="2:14" s="66" customFormat="1" ht="24.95" customHeight="1" x14ac:dyDescent="0.15">
      <c r="B40" s="75"/>
      <c r="C40" s="413" t="s">
        <v>719</v>
      </c>
      <c r="D40" s="414"/>
      <c r="E40" s="415"/>
      <c r="F40" s="100">
        <f>(SUM(E36:I36)+SUM(D38:M38))/10000</f>
        <v>110.06525145351149</v>
      </c>
      <c r="G40" s="101"/>
      <c r="H40" s="101"/>
      <c r="I40" s="101"/>
      <c r="N40" s="75"/>
    </row>
    <row r="41" spans="2:14" s="66" customFormat="1" ht="24.95" customHeight="1" x14ac:dyDescent="0.15">
      <c r="B41" s="75"/>
      <c r="C41" s="413" t="s">
        <v>720</v>
      </c>
      <c r="D41" s="414"/>
      <c r="E41" s="415"/>
      <c r="F41" s="100">
        <f>M22*(1+D26)/(D25-D26)*M37/10000</f>
        <v>72.59461766681595</v>
      </c>
      <c r="G41" s="101"/>
      <c r="H41" s="101"/>
      <c r="I41" s="101"/>
      <c r="N41" s="75"/>
    </row>
    <row r="42" spans="2:14" s="66" customFormat="1" ht="24.95" customHeight="1" x14ac:dyDescent="0.15">
      <c r="B42" s="75"/>
      <c r="C42" s="413" t="s">
        <v>721</v>
      </c>
      <c r="D42" s="414"/>
      <c r="E42" s="415"/>
      <c r="F42" s="102">
        <f ca="1">(F40+F41)*((1+$D$25)^((G26-F26)/365))</f>
        <v>180.94258307553767</v>
      </c>
      <c r="G42" s="101"/>
      <c r="H42" s="101"/>
      <c r="I42" s="101"/>
      <c r="N42" s="75"/>
    </row>
    <row r="43" spans="2:14" s="66" customFormat="1" ht="24.95" customHeight="1" x14ac:dyDescent="0.15">
      <c r="B43" s="75"/>
      <c r="C43" s="413" t="s">
        <v>722</v>
      </c>
      <c r="D43" s="414"/>
      <c r="E43" s="415"/>
      <c r="F43" s="102">
        <f ca="1">(-BS!I8+BS!I34+BS!I43)*((1+$D$25)^((G26-F26)/365))/10000</f>
        <v>-14.302196535432584</v>
      </c>
      <c r="G43" s="101"/>
      <c r="H43" s="101"/>
      <c r="I43" s="101"/>
      <c r="N43" s="75"/>
    </row>
    <row r="44" spans="2:14" s="66" customFormat="1" ht="24.95" customHeight="1" x14ac:dyDescent="0.15">
      <c r="B44" s="75"/>
      <c r="C44" s="413" t="s">
        <v>723</v>
      </c>
      <c r="D44" s="414"/>
      <c r="E44" s="415"/>
      <c r="F44" s="102">
        <f ca="1">BS!I56*((1+$D$25)^((G26-F26)/365))/10000</f>
        <v>0</v>
      </c>
      <c r="G44" s="101"/>
      <c r="H44" s="101"/>
      <c r="I44" s="101"/>
      <c r="N44" s="75"/>
    </row>
    <row r="45" spans="2:14" s="66" customFormat="1" ht="24.95" customHeight="1" x14ac:dyDescent="0.15">
      <c r="B45" s="75"/>
      <c r="C45" s="413" t="s">
        <v>724</v>
      </c>
      <c r="D45" s="414"/>
      <c r="E45" s="415"/>
      <c r="F45" s="102">
        <f ca="1">F42-(F43+F44)</f>
        <v>195.24477961097026</v>
      </c>
      <c r="G45" s="101"/>
      <c r="H45" s="101"/>
      <c r="I45" s="101"/>
      <c r="N45" s="75"/>
    </row>
    <row r="46" spans="2:14" s="66" customFormat="1" ht="24.95" customHeight="1" x14ac:dyDescent="0.15">
      <c r="B46" s="75"/>
      <c r="C46" s="413" t="s">
        <v>725</v>
      </c>
      <c r="D46" s="414"/>
      <c r="E46" s="415"/>
      <c r="F46" s="102">
        <v>227.65</v>
      </c>
      <c r="H46" s="440"/>
      <c r="I46" s="440"/>
      <c r="N46" s="75"/>
    </row>
    <row r="47" spans="2:14" s="66" customFormat="1" ht="24.95" customHeight="1" x14ac:dyDescent="0.15">
      <c r="B47" s="75"/>
      <c r="C47" s="410" t="s">
        <v>726</v>
      </c>
      <c r="D47" s="411"/>
      <c r="E47" s="412"/>
      <c r="F47" s="103">
        <f ca="1">F48*F45/F46</f>
        <v>48.714708903593717</v>
      </c>
      <c r="N47" s="75"/>
    </row>
    <row r="48" spans="2:14" s="66" customFormat="1" ht="24.95" customHeight="1" x14ac:dyDescent="0.15">
      <c r="B48" s="75"/>
      <c r="C48" s="413" t="s">
        <v>727</v>
      </c>
      <c r="D48" s="414"/>
      <c r="E48" s="415"/>
      <c r="F48" s="102">
        <v>56.8</v>
      </c>
      <c r="G48" s="104"/>
      <c r="H48" s="105"/>
      <c r="I48" s="68"/>
      <c r="N48" s="75"/>
    </row>
    <row r="49" spans="1:14" s="66" customFormat="1" ht="24.95" customHeight="1" x14ac:dyDescent="0.15">
      <c r="B49" s="75"/>
      <c r="N49" s="75"/>
    </row>
    <row r="50" spans="1:14" s="66" customFormat="1" ht="24.95" customHeight="1" x14ac:dyDescent="0.15">
      <c r="B50" s="75"/>
      <c r="C50" s="410" t="s">
        <v>728</v>
      </c>
      <c r="D50" s="411"/>
      <c r="E50" s="411"/>
      <c r="F50" s="411"/>
      <c r="G50" s="411"/>
      <c r="H50" s="412"/>
      <c r="N50" s="75"/>
    </row>
    <row r="51" spans="1:14" s="66" customFormat="1" ht="24.95" customHeight="1" x14ac:dyDescent="0.15">
      <c r="B51" s="75"/>
      <c r="C51" s="106" t="s">
        <v>729</v>
      </c>
      <c r="D51" s="416"/>
      <c r="E51" s="417"/>
      <c r="F51" s="417"/>
      <c r="G51" s="417"/>
      <c r="H51" s="418"/>
      <c r="N51" s="75"/>
    </row>
    <row r="52" spans="1:14" s="66" customFormat="1" ht="24.95" customHeight="1" x14ac:dyDescent="0.15">
      <c r="B52" s="75"/>
      <c r="C52" s="107">
        <f ca="1">F47</f>
        <v>48.714708903593717</v>
      </c>
      <c r="D52" s="108">
        <v>1.4999999999999999E-2</v>
      </c>
      <c r="E52" s="108">
        <v>0.02</v>
      </c>
      <c r="F52" s="108">
        <v>2.5000000000000001E-2</v>
      </c>
      <c r="G52" s="108">
        <v>0.03</v>
      </c>
      <c r="H52" s="108">
        <v>3.5000000000000003E-2</v>
      </c>
      <c r="N52" s="75"/>
    </row>
    <row r="53" spans="1:14" s="66" customFormat="1" ht="24.95" customHeight="1" x14ac:dyDescent="0.15">
      <c r="B53" s="75"/>
      <c r="C53" s="109">
        <v>9.7600000000000006E-2</v>
      </c>
      <c r="D53" s="102">
        <v>60.635333244616319</v>
      </c>
      <c r="E53" s="102">
        <v>62.424149437051334</v>
      </c>
      <c r="F53" s="102">
        <v>64.45922336522905</v>
      </c>
      <c r="G53" s="102">
        <v>66.795165703841079</v>
      </c>
      <c r="H53" s="102">
        <v>69.504023486037411</v>
      </c>
      <c r="N53" s="75"/>
    </row>
    <row r="54" spans="1:14" s="66" customFormat="1" ht="24.95" customHeight="1" x14ac:dyDescent="0.15">
      <c r="B54" s="75"/>
      <c r="C54" s="109">
        <v>0.1076</v>
      </c>
      <c r="D54" s="102">
        <v>52.926118938271649</v>
      </c>
      <c r="E54" s="438">
        <v>54.181579115338927</v>
      </c>
      <c r="F54" s="438">
        <v>55.588958481305909</v>
      </c>
      <c r="G54" s="438">
        <v>57.177607729545805</v>
      </c>
      <c r="H54" s="102">
        <v>58.984958691475128</v>
      </c>
      <c r="N54" s="75"/>
    </row>
    <row r="55" spans="1:14" s="66" customFormat="1" ht="24.95" customHeight="1" x14ac:dyDescent="0.15">
      <c r="B55" s="75"/>
      <c r="C55" s="109">
        <v>0.11764000000000001</v>
      </c>
      <c r="D55" s="102">
        <v>46.808615514940968</v>
      </c>
      <c r="E55" s="438">
        <v>47.712858097513639</v>
      </c>
      <c r="F55" s="439">
        <v>48.714708903593717</v>
      </c>
      <c r="G55" s="438">
        <v>49.830874041723099</v>
      </c>
      <c r="H55" s="102">
        <v>51.082102725124678</v>
      </c>
      <c r="N55" s="75"/>
    </row>
    <row r="56" spans="1:14" s="67" customFormat="1" ht="24.95" customHeight="1" x14ac:dyDescent="0.15">
      <c r="B56" s="110"/>
      <c r="C56" s="109">
        <v>0.12759999999999999</v>
      </c>
      <c r="D56" s="102">
        <v>41.852093523678626</v>
      </c>
      <c r="E56" s="438">
        <v>42.517280145791865</v>
      </c>
      <c r="F56" s="438">
        <v>43.247274505835072</v>
      </c>
      <c r="G56" s="438">
        <v>44.052032729053529</v>
      </c>
      <c r="H56" s="102">
        <v>44.943660363241179</v>
      </c>
      <c r="N56" s="110"/>
    </row>
    <row r="57" spans="1:14" s="67" customFormat="1" ht="24.95" customHeight="1" x14ac:dyDescent="0.15">
      <c r="B57" s="110"/>
      <c r="C57" s="109">
        <v>0.1376</v>
      </c>
      <c r="D57" s="102">
        <v>37.766927971195067</v>
      </c>
      <c r="E57" s="102">
        <v>38.264951739254514</v>
      </c>
      <c r="F57" s="102">
        <v>38.80718926513174</v>
      </c>
      <c r="G57" s="102">
        <v>39.399801886315288</v>
      </c>
      <c r="H57" s="102">
        <v>40.050151512680401</v>
      </c>
      <c r="N57" s="110"/>
    </row>
    <row r="58" spans="1:14" ht="6" customHeight="1" x14ac:dyDescent="0.15">
      <c r="A58" s="111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</sheetData>
  <mergeCells count="13">
    <mergeCell ref="C47:E47"/>
    <mergeCell ref="C48:E48"/>
    <mergeCell ref="C50:H50"/>
    <mergeCell ref="D51:H51"/>
    <mergeCell ref="C43:E43"/>
    <mergeCell ref="C44:E44"/>
    <mergeCell ref="C45:E45"/>
    <mergeCell ref="C46:E46"/>
    <mergeCell ref="C24:G24"/>
    <mergeCell ref="C34:I34"/>
    <mergeCell ref="C40:E40"/>
    <mergeCell ref="C41:E41"/>
    <mergeCell ref="C42:E42"/>
  </mergeCells>
  <phoneticPr fontId="52" type="noConversion"/>
  <pageMargins left="0.7" right="0.7" top="0.75" bottom="0.75" header="0.3" footer="0.3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00"/>
  </sheetPr>
  <dimension ref="B1:U23"/>
  <sheetViews>
    <sheetView showGridLines="0" zoomScale="85" zoomScaleNormal="85" workbookViewId="0">
      <pane ySplit="3" topLeftCell="A4" activePane="bottomLeft" state="frozen"/>
      <selection pane="bottomLeft" activeCell="Q21" sqref="Q21"/>
    </sheetView>
  </sheetViews>
  <sheetFormatPr defaultColWidth="9" defaultRowHeight="13.5" x14ac:dyDescent="0.15"/>
  <cols>
    <col min="1" max="1" width="4.125" customWidth="1"/>
    <col min="2" max="2" width="0.875" customWidth="1"/>
    <col min="3" max="3" width="23.375" customWidth="1"/>
    <col min="4" max="4" width="10.5" customWidth="1"/>
    <col min="5" max="5" width="16.125" customWidth="1"/>
    <col min="6" max="6" width="11.25" customWidth="1"/>
    <col min="7" max="11" width="10.375" customWidth="1"/>
    <col min="12" max="12" width="0.875" customWidth="1"/>
  </cols>
  <sheetData>
    <row r="1" spans="2:21" s="39" customFormat="1" ht="12" customHeight="1" x14ac:dyDescent="0.2">
      <c r="C1" s="41"/>
      <c r="F1" s="42"/>
    </row>
    <row r="2" spans="2:21" s="39" customFormat="1" ht="12" customHeight="1" x14ac:dyDescent="0.35">
      <c r="C2" s="41"/>
      <c r="F2" s="42"/>
      <c r="K2" s="57"/>
    </row>
    <row r="3" spans="2:21" s="39" customFormat="1" ht="12" customHeight="1" x14ac:dyDescent="0.2">
      <c r="C3" s="43"/>
      <c r="D3" s="44"/>
      <c r="E3" s="44"/>
      <c r="F3" s="44"/>
      <c r="G3" s="45"/>
      <c r="H3" s="45"/>
      <c r="I3" s="45"/>
      <c r="K3" s="58"/>
      <c r="L3" s="59"/>
      <c r="M3" s="45"/>
      <c r="N3" s="45"/>
      <c r="O3" s="45"/>
      <c r="P3" s="45"/>
      <c r="Q3" s="45"/>
      <c r="R3" s="45"/>
      <c r="S3" s="45"/>
      <c r="T3" s="45"/>
      <c r="U3" s="45"/>
    </row>
    <row r="4" spans="2:21" s="40" customFormat="1" ht="23.1" customHeight="1" x14ac:dyDescent="0.2">
      <c r="C4" s="46"/>
      <c r="D4" s="47"/>
      <c r="E4" s="47"/>
      <c r="F4" s="47"/>
      <c r="G4" s="48"/>
      <c r="H4" s="48"/>
      <c r="I4" s="48"/>
      <c r="K4" s="60"/>
      <c r="L4" s="60"/>
      <c r="M4" s="48"/>
      <c r="N4" s="48"/>
      <c r="O4" s="48"/>
      <c r="P4" s="48"/>
      <c r="Q4" s="48"/>
      <c r="R4" s="48"/>
      <c r="S4" s="48"/>
      <c r="T4" s="48"/>
      <c r="U4" s="48"/>
    </row>
    <row r="5" spans="2:21" ht="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2:21" ht="24.95" customHeight="1" x14ac:dyDescent="0.15">
      <c r="B6" s="49"/>
      <c r="C6" s="419" t="s">
        <v>730</v>
      </c>
      <c r="D6" s="420"/>
      <c r="E6" s="425"/>
      <c r="F6" s="426"/>
      <c r="G6" s="426"/>
      <c r="H6" s="426"/>
      <c r="I6" s="426"/>
      <c r="J6" s="426"/>
      <c r="K6" s="427"/>
      <c r="L6" s="49"/>
    </row>
    <row r="7" spans="2:21" ht="24.95" customHeight="1" x14ac:dyDescent="0.15">
      <c r="B7" s="49"/>
      <c r="C7" s="50" t="s">
        <v>704</v>
      </c>
      <c r="D7" s="33">
        <f>DCF估值!D25</f>
        <v>0.11764000000000001</v>
      </c>
      <c r="E7" s="428"/>
      <c r="F7" s="429"/>
      <c r="G7" s="429"/>
      <c r="H7" s="429"/>
      <c r="I7" s="429"/>
      <c r="J7" s="429"/>
      <c r="K7" s="430"/>
      <c r="L7" s="49"/>
    </row>
    <row r="8" spans="2:21" ht="24.95" customHeight="1" x14ac:dyDescent="0.15">
      <c r="B8" s="49"/>
      <c r="C8" s="50" t="s">
        <v>706</v>
      </c>
      <c r="D8" s="33">
        <f>DCF估值!D26</f>
        <v>2.5000000000000001E-2</v>
      </c>
      <c r="E8" s="428"/>
      <c r="F8" s="429"/>
      <c r="G8" s="429"/>
      <c r="H8" s="429"/>
      <c r="I8" s="429"/>
      <c r="J8" s="429"/>
      <c r="K8" s="430"/>
      <c r="L8" s="49"/>
    </row>
    <row r="9" spans="2:21" ht="24.95" customHeight="1" x14ac:dyDescent="0.15">
      <c r="B9" s="49"/>
      <c r="C9" s="50" t="s">
        <v>707</v>
      </c>
      <c r="D9" s="33">
        <f>DCF估值!D27</f>
        <v>3.7500000000000006E-2</v>
      </c>
      <c r="E9" s="428"/>
      <c r="F9" s="429"/>
      <c r="G9" s="429"/>
      <c r="H9" s="429"/>
      <c r="I9" s="429"/>
      <c r="J9" s="429"/>
      <c r="K9" s="430"/>
      <c r="L9" s="49"/>
    </row>
    <row r="10" spans="2:21" ht="24.95" customHeight="1" x14ac:dyDescent="0.15">
      <c r="B10" s="49"/>
      <c r="C10" s="50" t="s">
        <v>708</v>
      </c>
      <c r="D10" s="33">
        <f>DCF估值!D28</f>
        <v>0.11764000000000001</v>
      </c>
      <c r="E10" s="428"/>
      <c r="F10" s="429"/>
      <c r="G10" s="429"/>
      <c r="H10" s="429"/>
      <c r="I10" s="429"/>
      <c r="J10" s="429"/>
      <c r="K10" s="430"/>
      <c r="L10" s="49"/>
    </row>
    <row r="11" spans="2:21" ht="24.95" customHeight="1" x14ac:dyDescent="0.15">
      <c r="B11" s="49"/>
      <c r="C11" s="50" t="s">
        <v>709</v>
      </c>
      <c r="D11" s="33">
        <f>DCF估值!D29</f>
        <v>0.03</v>
      </c>
      <c r="E11" s="428"/>
      <c r="F11" s="429"/>
      <c r="G11" s="429"/>
      <c r="H11" s="429"/>
      <c r="I11" s="429"/>
      <c r="J11" s="429"/>
      <c r="K11" s="430"/>
      <c r="L11" s="49"/>
    </row>
    <row r="12" spans="2:21" ht="24.95" customHeight="1" x14ac:dyDescent="0.15">
      <c r="B12" s="49"/>
      <c r="C12" s="50" t="s">
        <v>710</v>
      </c>
      <c r="D12" s="33">
        <f>DCF估值!D30</f>
        <v>7.0000000000000007E-2</v>
      </c>
      <c r="E12" s="428"/>
      <c r="F12" s="429"/>
      <c r="G12" s="429"/>
      <c r="H12" s="429"/>
      <c r="I12" s="429"/>
      <c r="J12" s="429"/>
      <c r="K12" s="430"/>
      <c r="L12" s="49"/>
    </row>
    <row r="13" spans="2:21" ht="24.95" customHeight="1" x14ac:dyDescent="0.15">
      <c r="B13" s="49"/>
      <c r="C13" s="50" t="s">
        <v>711</v>
      </c>
      <c r="D13" s="51">
        <f>DCF估值!D31</f>
        <v>1.252</v>
      </c>
      <c r="E13" s="428"/>
      <c r="F13" s="429"/>
      <c r="G13" s="429"/>
      <c r="H13" s="429"/>
      <c r="I13" s="429"/>
      <c r="J13" s="429"/>
      <c r="K13" s="430"/>
      <c r="L13" s="49"/>
    </row>
    <row r="14" spans="2:21" ht="24.95" customHeight="1" x14ac:dyDescent="0.15">
      <c r="B14" s="49"/>
      <c r="C14" s="50" t="s">
        <v>714</v>
      </c>
      <c r="D14" s="33">
        <f>DCF估值!D32</f>
        <v>0</v>
      </c>
      <c r="E14" s="431"/>
      <c r="F14" s="432"/>
      <c r="G14" s="432"/>
      <c r="H14" s="432"/>
      <c r="I14" s="432"/>
      <c r="J14" s="432"/>
      <c r="K14" s="433"/>
      <c r="L14" s="49"/>
    </row>
    <row r="15" spans="2:21" ht="24.95" customHeight="1" x14ac:dyDescent="0.3">
      <c r="B15" s="49"/>
      <c r="C15" s="359"/>
      <c r="D15" s="360"/>
      <c r="E15" s="360"/>
      <c r="F15" s="360"/>
      <c r="G15" s="360"/>
      <c r="H15" s="360"/>
      <c r="I15" s="360"/>
      <c r="J15" s="360"/>
      <c r="K15" s="361"/>
      <c r="L15" s="49"/>
      <c r="Q15" s="62"/>
    </row>
    <row r="16" spans="2:21" ht="24.95" customHeight="1" x14ac:dyDescent="0.15">
      <c r="B16" s="49"/>
      <c r="C16" s="421" t="s">
        <v>731</v>
      </c>
      <c r="D16" s="422"/>
      <c r="E16" s="423"/>
      <c r="F16" s="419" t="s">
        <v>728</v>
      </c>
      <c r="G16" s="424"/>
      <c r="H16" s="424"/>
      <c r="I16" s="424"/>
      <c r="J16" s="424"/>
      <c r="K16" s="420"/>
      <c r="L16" s="49"/>
    </row>
    <row r="17" spans="2:12" ht="24.95" customHeight="1" x14ac:dyDescent="0.15">
      <c r="B17" s="49"/>
      <c r="C17" s="50" t="s">
        <v>732</v>
      </c>
      <c r="D17" s="349">
        <f ca="1">DCF估值!F42</f>
        <v>180.94258307553767</v>
      </c>
      <c r="E17" s="52" t="s">
        <v>733</v>
      </c>
      <c r="F17" s="53" t="s">
        <v>729</v>
      </c>
      <c r="G17" s="54">
        <f>DCF估值!D52</f>
        <v>1.4999999999999999E-2</v>
      </c>
      <c r="H17" s="54">
        <f>DCF估值!E52</f>
        <v>0.02</v>
      </c>
      <c r="I17" s="54">
        <f>DCF估值!F52</f>
        <v>2.5000000000000001E-2</v>
      </c>
      <c r="J17" s="54">
        <f>DCF估值!G52</f>
        <v>0.03</v>
      </c>
      <c r="K17" s="54">
        <f>DCF估值!H52</f>
        <v>3.5000000000000003E-2</v>
      </c>
      <c r="L17" s="49"/>
    </row>
    <row r="18" spans="2:12" ht="24.95" customHeight="1" x14ac:dyDescent="0.15">
      <c r="B18" s="49"/>
      <c r="C18" s="50" t="s">
        <v>734</v>
      </c>
      <c r="D18" s="349">
        <f ca="1">DCF估值!F43</f>
        <v>-14.302196535432584</v>
      </c>
      <c r="E18" s="52" t="s">
        <v>733</v>
      </c>
      <c r="F18" s="54">
        <f>DCF估值!C53</f>
        <v>9.7600000000000006E-2</v>
      </c>
      <c r="G18" s="55">
        <f>DCF估值!D53</f>
        <v>60.635333244616319</v>
      </c>
      <c r="H18" s="55">
        <f>DCF估值!E53</f>
        <v>62.424149437051334</v>
      </c>
      <c r="I18" s="55">
        <f>DCF估值!F53</f>
        <v>64.45922336522905</v>
      </c>
      <c r="J18" s="55">
        <f>DCF估值!G53</f>
        <v>66.795165703841079</v>
      </c>
      <c r="K18" s="55">
        <f>DCF估值!H53</f>
        <v>69.504023486037411</v>
      </c>
      <c r="L18" s="49"/>
    </row>
    <row r="19" spans="2:12" ht="24.95" customHeight="1" x14ac:dyDescent="0.15">
      <c r="B19" s="49"/>
      <c r="C19" s="50" t="s">
        <v>735</v>
      </c>
      <c r="D19" s="349">
        <f ca="1">DCF估值!F44</f>
        <v>0</v>
      </c>
      <c r="E19" s="52" t="s">
        <v>733</v>
      </c>
      <c r="F19" s="54">
        <f>DCF估值!C54</f>
        <v>0.1076</v>
      </c>
      <c r="G19" s="55">
        <f>DCF估值!D54</f>
        <v>52.926118938271649</v>
      </c>
      <c r="H19" s="55">
        <f>DCF估值!E54</f>
        <v>54.181579115338927</v>
      </c>
      <c r="I19" s="55">
        <f>DCF估值!F54</f>
        <v>55.588958481305909</v>
      </c>
      <c r="J19" s="55">
        <f>DCF估值!G54</f>
        <v>57.177607729545805</v>
      </c>
      <c r="K19" s="55">
        <f>DCF估值!H54</f>
        <v>58.984958691475128</v>
      </c>
      <c r="L19" s="49"/>
    </row>
    <row r="20" spans="2:12" ht="24.95" customHeight="1" x14ac:dyDescent="0.15">
      <c r="B20" s="49"/>
      <c r="C20" s="50" t="s">
        <v>736</v>
      </c>
      <c r="D20" s="349">
        <f ca="1">DCF估值!F45</f>
        <v>195.24477961097026</v>
      </c>
      <c r="E20" s="52" t="s">
        <v>733</v>
      </c>
      <c r="F20" s="54">
        <f>DCF估值!C55</f>
        <v>0.11764000000000001</v>
      </c>
      <c r="G20" s="55">
        <f>DCF估值!D55</f>
        <v>46.808615514940968</v>
      </c>
      <c r="H20" s="55">
        <f>DCF估值!E55</f>
        <v>47.712858097513639</v>
      </c>
      <c r="I20" s="61">
        <f>DCF估值!F55</f>
        <v>48.714708903593717</v>
      </c>
      <c r="J20" s="55">
        <f>DCF估值!G55</f>
        <v>49.830874041723099</v>
      </c>
      <c r="K20" s="55">
        <f>DCF估值!H55</f>
        <v>51.082102725124678</v>
      </c>
      <c r="L20" s="49"/>
    </row>
    <row r="21" spans="2:12" ht="24.95" customHeight="1" x14ac:dyDescent="0.15">
      <c r="B21" s="49"/>
      <c r="C21" s="56" t="s">
        <v>737</v>
      </c>
      <c r="D21" s="349">
        <f ca="1">DCF估值!F47</f>
        <v>48.714708903593717</v>
      </c>
      <c r="E21" s="52" t="s">
        <v>738</v>
      </c>
      <c r="F21" s="54">
        <f>DCF估值!C56</f>
        <v>0.12759999999999999</v>
      </c>
      <c r="G21" s="55">
        <f>DCF估值!D56</f>
        <v>41.852093523678626</v>
      </c>
      <c r="H21" s="55">
        <f>DCF估值!E56</f>
        <v>42.517280145791865</v>
      </c>
      <c r="I21" s="55">
        <f>DCF估值!F56</f>
        <v>43.247274505835072</v>
      </c>
      <c r="J21" s="55">
        <f>DCF估值!G56</f>
        <v>44.052032729053529</v>
      </c>
      <c r="K21" s="55">
        <f>DCF估值!H56</f>
        <v>44.943660363241179</v>
      </c>
      <c r="L21" s="49"/>
    </row>
    <row r="22" spans="2:12" ht="24.75" customHeight="1" x14ac:dyDescent="0.15">
      <c r="B22" s="49"/>
      <c r="C22" s="50" t="s">
        <v>739</v>
      </c>
      <c r="D22" s="349">
        <f>DCF估值!F48</f>
        <v>56.8</v>
      </c>
      <c r="E22" s="52" t="s">
        <v>738</v>
      </c>
      <c r="F22" s="54">
        <f>DCF估值!C57</f>
        <v>0.1376</v>
      </c>
      <c r="G22" s="55">
        <f>DCF估值!D57</f>
        <v>37.766927971195067</v>
      </c>
      <c r="H22" s="55">
        <f>DCF估值!E57</f>
        <v>38.264951739254514</v>
      </c>
      <c r="I22" s="55">
        <f>DCF估值!F57</f>
        <v>38.80718926513174</v>
      </c>
      <c r="J22" s="55">
        <f>DCF估值!G57</f>
        <v>39.399801886315288</v>
      </c>
      <c r="K22" s="55">
        <f>DCF估值!H57</f>
        <v>40.050151512680401</v>
      </c>
      <c r="L22" s="49"/>
    </row>
    <row r="23" spans="2:12" ht="6" customHeight="1" x14ac:dyDescent="0.15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</sheetData>
  <mergeCells count="5">
    <mergeCell ref="C6:D6"/>
    <mergeCell ref="C15:K15"/>
    <mergeCell ref="C16:E16"/>
    <mergeCell ref="F16:K16"/>
    <mergeCell ref="E6:K14"/>
  </mergeCells>
  <phoneticPr fontId="52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00"/>
  </sheetPr>
  <dimension ref="B1:V19"/>
  <sheetViews>
    <sheetView showGridLines="0" zoomScale="85" zoomScaleNormal="85" workbookViewId="0">
      <pane ySplit="3" topLeftCell="A4" activePane="bottomLeft" state="frozen"/>
      <selection pane="bottomLeft" activeCell="O14" sqref="O14"/>
    </sheetView>
  </sheetViews>
  <sheetFormatPr defaultColWidth="8.875" defaultRowHeight="13.5" x14ac:dyDescent="0.15"/>
  <cols>
    <col min="1" max="1" width="4.125" style="3" customWidth="1"/>
    <col min="2" max="2" width="0.875" style="3" customWidth="1"/>
    <col min="3" max="3" width="34.75" style="3" customWidth="1"/>
    <col min="4" max="4" width="12.625" style="3" customWidth="1"/>
    <col min="5" max="6" width="13.625" style="3" customWidth="1"/>
    <col min="7" max="10" width="10.75" style="3" customWidth="1"/>
    <col min="11" max="11" width="12.25" style="3" customWidth="1"/>
    <col min="12" max="12" width="0.875" style="3" customWidth="1"/>
    <col min="13" max="14" width="8.625" style="3" customWidth="1"/>
    <col min="15" max="16384" width="8.875" style="3"/>
  </cols>
  <sheetData>
    <row r="1" spans="2:22" s="1" customFormat="1" ht="12" customHeight="1" x14ac:dyDescent="0.3">
      <c r="C1" s="4"/>
      <c r="G1" s="5"/>
      <c r="K1" s="29"/>
    </row>
    <row r="2" spans="2:22" s="1" customFormat="1" ht="12" customHeight="1" x14ac:dyDescent="0.3">
      <c r="C2" s="4"/>
      <c r="G2" s="5"/>
      <c r="K2" s="29"/>
    </row>
    <row r="3" spans="2:22" s="1" customFormat="1" ht="12" customHeight="1" x14ac:dyDescent="0.2">
      <c r="C3" s="6"/>
      <c r="D3" s="7"/>
      <c r="E3" s="7"/>
      <c r="F3" s="7"/>
      <c r="G3" s="7"/>
      <c r="H3" s="8"/>
      <c r="I3" s="8"/>
      <c r="K3" s="30"/>
      <c r="M3" s="8"/>
      <c r="N3" s="8"/>
      <c r="O3" s="8"/>
      <c r="P3" s="8"/>
      <c r="Q3" s="8"/>
      <c r="R3" s="8"/>
      <c r="S3" s="8"/>
      <c r="T3" s="8"/>
      <c r="U3" s="8"/>
      <c r="V3" s="8"/>
    </row>
    <row r="4" spans="2:22" s="2" customFormat="1" ht="23.1" customHeight="1" x14ac:dyDescent="0.2">
      <c r="C4" s="9"/>
      <c r="D4" s="10"/>
      <c r="E4" s="10"/>
      <c r="F4" s="10"/>
      <c r="G4" s="10"/>
      <c r="H4" s="11"/>
      <c r="I4" s="11"/>
      <c r="L4" s="3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2:22" s="2" customFormat="1" ht="6" customHeight="1" x14ac:dyDescent="0.2">
      <c r="B5" s="1"/>
      <c r="C5" s="6"/>
      <c r="D5" s="7"/>
      <c r="E5" s="7"/>
      <c r="F5" s="7"/>
      <c r="G5" s="7"/>
      <c r="H5" s="8"/>
      <c r="I5" s="8"/>
      <c r="J5" s="1"/>
      <c r="K5" s="1"/>
      <c r="L5" s="32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2:22" ht="24.95" customHeight="1" x14ac:dyDescent="0.15">
      <c r="B6" s="12"/>
      <c r="C6" s="435" t="s">
        <v>740</v>
      </c>
      <c r="D6" s="435" t="s">
        <v>741</v>
      </c>
      <c r="E6" s="434" t="s">
        <v>742</v>
      </c>
      <c r="F6" s="434" t="s">
        <v>743</v>
      </c>
      <c r="G6" s="435" t="s">
        <v>744</v>
      </c>
      <c r="H6" s="435"/>
      <c r="I6" s="435"/>
      <c r="J6" s="435"/>
      <c r="K6" s="434" t="s">
        <v>745</v>
      </c>
      <c r="L6" s="12"/>
    </row>
    <row r="7" spans="2:22" ht="24.95" customHeight="1" x14ac:dyDescent="0.15">
      <c r="B7" s="12"/>
      <c r="C7" s="435"/>
      <c r="D7" s="435"/>
      <c r="E7" s="435"/>
      <c r="F7" s="435"/>
      <c r="G7" s="13">
        <v>2018</v>
      </c>
      <c r="H7" s="13" t="s">
        <v>28</v>
      </c>
      <c r="I7" s="13" t="s">
        <v>29</v>
      </c>
      <c r="J7" s="13" t="s">
        <v>30</v>
      </c>
      <c r="K7" s="434"/>
      <c r="L7" s="12"/>
    </row>
    <row r="8" spans="2:22" ht="24.95" customHeight="1" x14ac:dyDescent="0.15">
      <c r="B8" s="12"/>
      <c r="C8" s="350" t="s">
        <v>749</v>
      </c>
      <c r="D8" s="14" t="s">
        <v>757</v>
      </c>
      <c r="E8" s="15">
        <v>56.8</v>
      </c>
      <c r="F8" s="16">
        <f>22776800000/100000000</f>
        <v>227.768</v>
      </c>
      <c r="G8" s="17">
        <v>74.958200000000005</v>
      </c>
      <c r="H8" s="17">
        <f>$F$8*10000/IS!I34</f>
        <v>62.218870707178837</v>
      </c>
      <c r="I8" s="17">
        <f>$F$8*10000/IS!J34</f>
        <v>53.095698981995405</v>
      </c>
      <c r="J8" s="17">
        <f>$F$8*10000/IS!K34</f>
        <v>44.229679363422768</v>
      </c>
      <c r="K8" s="33">
        <f>(IS!K34/IS!H34)^(1/3)-1</f>
        <v>0.19225336416641348</v>
      </c>
      <c r="L8" s="12"/>
    </row>
    <row r="9" spans="2:22" ht="24.95" customHeight="1" x14ac:dyDescent="0.15">
      <c r="B9" s="12"/>
      <c r="C9" s="351" t="s">
        <v>756</v>
      </c>
      <c r="D9" s="14" t="s">
        <v>762</v>
      </c>
      <c r="E9" s="15">
        <v>44.28</v>
      </c>
      <c r="F9" s="16">
        <v>269.501671746</v>
      </c>
      <c r="G9" s="15">
        <v>42.068300000000001</v>
      </c>
      <c r="H9" s="15">
        <v>33.977899999999998</v>
      </c>
      <c r="I9" s="15">
        <v>28.312000000000001</v>
      </c>
      <c r="J9" s="15">
        <v>23.9481</v>
      </c>
      <c r="K9" s="33">
        <f>(G9/J9)^(1/3)-1</f>
        <v>0.20659438453751355</v>
      </c>
      <c r="L9" s="12"/>
    </row>
    <row r="10" spans="2:22" ht="24.95" customHeight="1" x14ac:dyDescent="0.15">
      <c r="B10" s="12"/>
      <c r="C10" s="351" t="s">
        <v>755</v>
      </c>
      <c r="D10" s="14" t="s">
        <v>761</v>
      </c>
      <c r="E10" s="15">
        <v>32.5</v>
      </c>
      <c r="F10" s="16">
        <v>164.77500000000001</v>
      </c>
      <c r="G10" s="15">
        <v>38.071100000000001</v>
      </c>
      <c r="H10" s="15">
        <v>30.388000000000002</v>
      </c>
      <c r="I10" s="15">
        <v>25.900500000000001</v>
      </c>
      <c r="J10" s="15">
        <v>22.222200000000001</v>
      </c>
      <c r="K10" s="33">
        <f t="shared" ref="K10" si="0">(G10/J10)^(1/3)-1</f>
        <v>0.19656452890888998</v>
      </c>
      <c r="L10" s="12"/>
    </row>
    <row r="11" spans="2:22" ht="24.95" customHeight="1" x14ac:dyDescent="0.15">
      <c r="B11" s="12"/>
      <c r="C11" s="351" t="s">
        <v>754</v>
      </c>
      <c r="D11" s="14" t="s">
        <v>758</v>
      </c>
      <c r="E11" s="15">
        <v>37.61</v>
      </c>
      <c r="F11" s="16">
        <v>48.291240000000002</v>
      </c>
      <c r="G11" s="17">
        <v>68.485299999999995</v>
      </c>
      <c r="H11" s="17">
        <v>44.461500000000001</v>
      </c>
      <c r="I11" s="17">
        <v>30.557400000000001</v>
      </c>
      <c r="J11" s="17">
        <v>22.127400000000002</v>
      </c>
      <c r="K11" s="33">
        <f t="shared" ref="K11:K12" si="1">(G11/J11)^(1/3)-1</f>
        <v>0.4573224612652893</v>
      </c>
      <c r="L11" s="12"/>
    </row>
    <row r="12" spans="2:22" ht="24.95" customHeight="1" x14ac:dyDescent="0.15">
      <c r="B12" s="12"/>
      <c r="C12" s="351" t="s">
        <v>752</v>
      </c>
      <c r="D12" s="14" t="s">
        <v>759</v>
      </c>
      <c r="E12" s="15">
        <v>7.85</v>
      </c>
      <c r="F12" s="16">
        <v>40.481206559999997</v>
      </c>
      <c r="G12" s="17">
        <v>31.2424</v>
      </c>
      <c r="H12" s="17">
        <v>24.794699999999999</v>
      </c>
      <c r="I12" s="17">
        <v>20.357900000000001</v>
      </c>
      <c r="J12" s="17">
        <v>16.976600000000001</v>
      </c>
      <c r="K12" s="33">
        <f t="shared" si="1"/>
        <v>0.22545647484642228</v>
      </c>
      <c r="L12" s="12"/>
    </row>
    <row r="13" spans="2:22" ht="24.95" customHeight="1" x14ac:dyDescent="0.15">
      <c r="B13" s="12"/>
      <c r="C13" s="351" t="s">
        <v>753</v>
      </c>
      <c r="D13" s="14" t="s">
        <v>760</v>
      </c>
      <c r="E13" s="15">
        <v>10.19</v>
      </c>
      <c r="F13" s="16">
        <v>34.691267036999996</v>
      </c>
      <c r="G13" s="15">
        <v>343.17250000000001</v>
      </c>
      <c r="H13" s="15">
        <v>36.134799999999998</v>
      </c>
      <c r="I13" s="15">
        <v>30.165800000000001</v>
      </c>
      <c r="J13" s="15"/>
      <c r="K13" s="33">
        <f>(G13/I13)^(1/2)-1</f>
        <v>2.3728638881915045</v>
      </c>
      <c r="L13" s="12"/>
    </row>
    <row r="14" spans="2:22" ht="6" customHeight="1" x14ac:dyDescent="0.3">
      <c r="B14" s="12"/>
      <c r="C14" s="18"/>
      <c r="D14" s="19"/>
      <c r="E14" s="20"/>
      <c r="F14" s="20"/>
      <c r="G14" s="21"/>
      <c r="H14" s="21"/>
      <c r="I14" s="21"/>
      <c r="J14" s="21"/>
      <c r="K14" s="34"/>
      <c r="L14" s="35"/>
      <c r="M14" s="36"/>
      <c r="N14" s="36"/>
    </row>
    <row r="15" spans="2:22" ht="16.5" x14ac:dyDescent="0.3">
      <c r="C15" s="22"/>
      <c r="D15" s="22"/>
      <c r="E15" s="23"/>
      <c r="F15" s="23"/>
      <c r="G15" s="24"/>
      <c r="H15" s="25"/>
      <c r="I15" s="37"/>
      <c r="J15" s="37"/>
      <c r="K15" s="38"/>
      <c r="L15" s="36"/>
      <c r="M15" s="36"/>
      <c r="N15" s="36"/>
    </row>
    <row r="16" spans="2:22" x14ac:dyDescent="0.15">
      <c r="F16" s="26"/>
      <c r="G16" s="27"/>
      <c r="H16" s="27"/>
      <c r="I16" s="27"/>
      <c r="J16" s="27"/>
      <c r="K16" s="36"/>
      <c r="L16" s="36"/>
      <c r="M16" s="36"/>
      <c r="N16" s="36"/>
    </row>
    <row r="17" spans="3:14" x14ac:dyDescent="0.15">
      <c r="C17" s="28"/>
      <c r="D17" s="28"/>
      <c r="E17" s="26"/>
      <c r="F17" s="26"/>
      <c r="G17" s="27"/>
      <c r="H17" s="27"/>
      <c r="I17" s="27"/>
      <c r="J17" s="27"/>
      <c r="K17" s="36"/>
      <c r="L17" s="36"/>
      <c r="M17" s="36"/>
      <c r="N17" s="36"/>
    </row>
    <row r="18" spans="3:14" x14ac:dyDescent="0.15">
      <c r="C18" s="28"/>
      <c r="D18" s="28"/>
      <c r="E18" s="26"/>
      <c r="F18" s="26"/>
      <c r="G18" s="27"/>
      <c r="H18" s="27"/>
      <c r="I18" s="27"/>
      <c r="J18" s="27"/>
      <c r="K18" s="36"/>
      <c r="L18" s="36"/>
      <c r="M18" s="36"/>
      <c r="N18" s="36"/>
    </row>
    <row r="19" spans="3:14" x14ac:dyDescent="0.15">
      <c r="C19" s="28"/>
      <c r="D19" s="28"/>
      <c r="E19" s="26"/>
      <c r="F19" s="26"/>
      <c r="G19" s="27"/>
      <c r="H19" s="27"/>
      <c r="I19" s="27"/>
      <c r="J19" s="27"/>
      <c r="K19" s="36"/>
      <c r="L19" s="36"/>
      <c r="M19" s="36"/>
      <c r="N19" s="36"/>
    </row>
  </sheetData>
  <mergeCells count="6">
    <mergeCell ref="K6:K7"/>
    <mergeCell ref="G6:J6"/>
    <mergeCell ref="C6:C7"/>
    <mergeCell ref="D6:D7"/>
    <mergeCell ref="E6:E7"/>
    <mergeCell ref="F6:F7"/>
  </mergeCells>
  <phoneticPr fontId="52" type="noConversion"/>
  <pageMargins left="0.7" right="0.7" top="0.75" bottom="0.75" header="0.3" footer="0.3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M27"/>
  <sheetViews>
    <sheetView showGridLines="0" zoomScale="85" zoomScaleNormal="85" workbookViewId="0">
      <pane ySplit="3" topLeftCell="A4" activePane="bottomLeft" state="frozen"/>
      <selection pane="bottomLeft" activeCell="N14" sqref="N14"/>
    </sheetView>
  </sheetViews>
  <sheetFormatPr defaultColWidth="9" defaultRowHeight="13.5" x14ac:dyDescent="0.15"/>
  <cols>
    <col min="1" max="1" width="4.125" customWidth="1"/>
    <col min="2" max="2" width="0.875" customWidth="1"/>
    <col min="4" max="4" width="14.125" customWidth="1"/>
    <col min="10" max="10" width="34.125" customWidth="1"/>
    <col min="11" max="11" width="0.875" customWidth="1"/>
  </cols>
  <sheetData>
    <row r="1" spans="2:13" s="39" customFormat="1" ht="12" customHeight="1" x14ac:dyDescent="0.2"/>
    <row r="2" spans="2:13" s="297" customFormat="1" ht="12" customHeight="1" x14ac:dyDescent="0.4">
      <c r="C2" s="299"/>
      <c r="D2" s="300"/>
      <c r="F2" s="301"/>
      <c r="H2" s="300"/>
      <c r="I2" s="300"/>
    </row>
    <row r="3" spans="2:13" s="297" customFormat="1" ht="12" customHeight="1" x14ac:dyDescent="0.35">
      <c r="C3" s="299"/>
      <c r="D3" s="300"/>
      <c r="H3" s="300"/>
      <c r="I3" s="300"/>
      <c r="J3" s="58"/>
      <c r="K3" s="300"/>
      <c r="L3" s="300"/>
    </row>
    <row r="4" spans="2:13" s="298" customFormat="1" ht="23.1" customHeight="1" x14ac:dyDescent="0.35">
      <c r="C4" s="302"/>
      <c r="D4" s="303"/>
      <c r="H4" s="303"/>
      <c r="I4" s="303"/>
      <c r="J4"/>
    </row>
    <row r="5" spans="2:13" s="298" customFormat="1" ht="6" customHeight="1" x14ac:dyDescent="0.35">
      <c r="B5" s="297"/>
      <c r="C5" s="299"/>
      <c r="D5" s="300"/>
      <c r="E5" s="297"/>
      <c r="F5" s="297"/>
      <c r="G5" s="297"/>
      <c r="H5" s="300"/>
      <c r="I5" s="300"/>
      <c r="J5" s="300"/>
      <c r="K5" s="297"/>
    </row>
    <row r="6" spans="2:13" ht="24.95" customHeight="1" x14ac:dyDescent="0.15">
      <c r="B6" s="49"/>
      <c r="C6" s="353" t="s">
        <v>0</v>
      </c>
      <c r="D6" s="354"/>
      <c r="E6" s="354"/>
      <c r="F6" s="354"/>
      <c r="G6" s="354"/>
      <c r="H6" s="354"/>
      <c r="I6" s="354"/>
      <c r="J6" s="355"/>
      <c r="K6" s="318"/>
      <c r="L6" s="319"/>
      <c r="M6" s="319"/>
    </row>
    <row r="7" spans="2:13" ht="24.95" customHeight="1" x14ac:dyDescent="0.15">
      <c r="B7" s="49"/>
      <c r="C7" s="356" t="s">
        <v>1</v>
      </c>
      <c r="D7" s="357"/>
      <c r="E7" s="357"/>
      <c r="F7" s="357"/>
      <c r="G7" s="357"/>
      <c r="H7" s="357"/>
      <c r="I7" s="357"/>
      <c r="J7" s="358"/>
      <c r="K7" s="318"/>
      <c r="L7" s="319"/>
      <c r="M7" s="319"/>
    </row>
    <row r="8" spans="2:13" ht="24.95" customHeight="1" x14ac:dyDescent="0.3">
      <c r="B8" s="49"/>
      <c r="C8" s="359"/>
      <c r="D8" s="360"/>
      <c r="E8" s="360"/>
      <c r="F8" s="360"/>
      <c r="G8" s="360"/>
      <c r="H8" s="360"/>
      <c r="I8" s="360"/>
      <c r="J8" s="361"/>
      <c r="K8" s="318"/>
      <c r="L8" s="319"/>
      <c r="M8" s="319"/>
    </row>
    <row r="9" spans="2:13" ht="24.95" customHeight="1" x14ac:dyDescent="0.15">
      <c r="B9" s="49"/>
      <c r="C9" s="362" t="s">
        <v>2</v>
      </c>
      <c r="D9" s="363"/>
      <c r="E9" s="363"/>
      <c r="F9" s="363"/>
      <c r="G9" s="363"/>
      <c r="H9" s="363"/>
      <c r="I9" s="363"/>
      <c r="J9" s="364"/>
      <c r="K9" s="318"/>
      <c r="L9" s="319"/>
      <c r="M9" s="319"/>
    </row>
    <row r="10" spans="2:13" ht="24.95" customHeight="1" x14ac:dyDescent="0.3">
      <c r="B10" s="49"/>
      <c r="C10" s="304">
        <v>1</v>
      </c>
      <c r="D10" s="305" t="s">
        <v>3</v>
      </c>
      <c r="E10" s="365" t="s">
        <v>4</v>
      </c>
      <c r="F10" s="366"/>
      <c r="G10" s="366"/>
      <c r="H10" s="366"/>
      <c r="I10" s="366"/>
      <c r="J10" s="367"/>
      <c r="K10" s="318"/>
      <c r="L10" s="319"/>
      <c r="M10" s="319"/>
    </row>
    <row r="11" spans="2:13" ht="24.95" customHeight="1" x14ac:dyDescent="0.3">
      <c r="B11" s="49"/>
      <c r="C11" s="308">
        <v>1</v>
      </c>
      <c r="D11" s="305" t="s">
        <v>3</v>
      </c>
      <c r="E11" s="227" t="s">
        <v>5</v>
      </c>
      <c r="F11" s="306"/>
      <c r="G11" s="307"/>
      <c r="H11" s="307"/>
      <c r="I11" s="307"/>
      <c r="J11" s="320"/>
      <c r="K11" s="318"/>
      <c r="L11" s="319"/>
      <c r="M11" s="319"/>
    </row>
    <row r="12" spans="2:13" ht="24.95" customHeight="1" x14ac:dyDescent="0.3">
      <c r="B12" s="49"/>
      <c r="C12" s="308"/>
      <c r="D12" s="305" t="s">
        <v>3</v>
      </c>
      <c r="E12" s="227" t="s">
        <v>6</v>
      </c>
      <c r="F12" s="306"/>
      <c r="G12" s="307"/>
      <c r="H12" s="307"/>
      <c r="I12" s="307"/>
      <c r="J12" s="320"/>
      <c r="K12" s="318"/>
      <c r="L12" s="319"/>
      <c r="M12" s="319"/>
    </row>
    <row r="13" spans="2:13" ht="24.95" customHeight="1" x14ac:dyDescent="0.3">
      <c r="B13" s="49"/>
      <c r="C13" s="359"/>
      <c r="D13" s="360"/>
      <c r="E13" s="360"/>
      <c r="F13" s="360"/>
      <c r="G13" s="360"/>
      <c r="H13" s="360"/>
      <c r="I13" s="360"/>
      <c r="J13" s="361"/>
      <c r="K13" s="318"/>
      <c r="L13" s="319"/>
      <c r="M13" s="319"/>
    </row>
    <row r="14" spans="2:13" ht="24.95" customHeight="1" x14ac:dyDescent="0.15">
      <c r="B14" s="49"/>
      <c r="C14" s="368" t="s">
        <v>7</v>
      </c>
      <c r="D14" s="369"/>
      <c r="E14" s="369"/>
      <c r="F14" s="369"/>
      <c r="G14" s="369"/>
      <c r="H14" s="369"/>
      <c r="I14" s="369"/>
      <c r="J14" s="370"/>
      <c r="K14" s="318"/>
      <c r="L14" s="319"/>
      <c r="M14" s="319"/>
    </row>
    <row r="15" spans="2:13" ht="24.95" customHeight="1" x14ac:dyDescent="0.15">
      <c r="B15" s="49"/>
      <c r="C15" s="309" t="s">
        <v>8</v>
      </c>
      <c r="D15" s="310" t="s">
        <v>9</v>
      </c>
      <c r="E15" s="311" t="s">
        <v>10</v>
      </c>
      <c r="F15" s="372"/>
      <c r="G15" s="373"/>
      <c r="H15" s="373"/>
      <c r="I15" s="373"/>
      <c r="J15" s="373"/>
      <c r="K15" s="318"/>
      <c r="L15" s="319"/>
      <c r="M15" s="319"/>
    </row>
    <row r="16" spans="2:13" ht="24.95" customHeight="1" x14ac:dyDescent="0.15">
      <c r="B16" s="49"/>
      <c r="C16" s="312" t="s">
        <v>11</v>
      </c>
      <c r="D16" s="310" t="s">
        <v>9</v>
      </c>
      <c r="E16" s="313" t="s">
        <v>12</v>
      </c>
      <c r="F16" s="374"/>
      <c r="G16" s="375"/>
      <c r="H16" s="375"/>
      <c r="I16" s="375"/>
      <c r="J16" s="375"/>
      <c r="K16" s="318"/>
      <c r="L16" s="319"/>
      <c r="M16" s="319"/>
    </row>
    <row r="17" spans="2:13" ht="24.95" customHeight="1" x14ac:dyDescent="0.15">
      <c r="B17" s="49"/>
      <c r="C17" s="314" t="s">
        <v>13</v>
      </c>
      <c r="D17" s="310" t="s">
        <v>9</v>
      </c>
      <c r="E17" s="315" t="s">
        <v>14</v>
      </c>
      <c r="F17" s="376"/>
      <c r="G17" s="377"/>
      <c r="H17" s="377"/>
      <c r="I17" s="377"/>
      <c r="J17" s="377"/>
      <c r="K17" s="318"/>
      <c r="L17" s="319"/>
      <c r="M17" s="319"/>
    </row>
    <row r="18" spans="2:13" ht="24.95" customHeight="1" x14ac:dyDescent="0.3">
      <c r="B18" s="49"/>
      <c r="C18" s="359"/>
      <c r="D18" s="360"/>
      <c r="E18" s="360"/>
      <c r="F18" s="360"/>
      <c r="G18" s="360"/>
      <c r="H18" s="360"/>
      <c r="I18" s="360"/>
      <c r="J18" s="361"/>
      <c r="K18" s="318"/>
      <c r="L18" s="319"/>
      <c r="M18" s="319"/>
    </row>
    <row r="19" spans="2:13" ht="24.95" customHeight="1" x14ac:dyDescent="0.15">
      <c r="B19" s="49"/>
      <c r="C19" s="316" t="s">
        <v>15</v>
      </c>
      <c r="D19" s="306"/>
      <c r="E19" s="307"/>
      <c r="F19" s="307"/>
      <c r="G19" s="307"/>
      <c r="H19" s="307"/>
      <c r="I19" s="307"/>
      <c r="J19" s="320"/>
      <c r="K19" s="318"/>
      <c r="L19" s="319"/>
      <c r="M19" s="319"/>
    </row>
    <row r="20" spans="2:13" ht="24.95" customHeight="1" x14ac:dyDescent="0.15">
      <c r="B20" s="49"/>
      <c r="C20" s="371" t="s">
        <v>16</v>
      </c>
      <c r="D20" s="357"/>
      <c r="E20" s="357"/>
      <c r="F20" s="357"/>
      <c r="G20" s="357"/>
      <c r="H20" s="357"/>
      <c r="I20" s="357"/>
      <c r="J20" s="358"/>
      <c r="K20" s="318"/>
      <c r="L20" s="319"/>
      <c r="M20" s="319"/>
    </row>
    <row r="21" spans="2:13" ht="24.95" customHeight="1" x14ac:dyDescent="0.15">
      <c r="B21" s="49"/>
      <c r="C21" s="371" t="s">
        <v>17</v>
      </c>
      <c r="D21" s="357"/>
      <c r="E21" s="357"/>
      <c r="F21" s="357"/>
      <c r="G21" s="357"/>
      <c r="H21" s="357"/>
      <c r="I21" s="357"/>
      <c r="J21" s="358"/>
      <c r="K21" s="318"/>
      <c r="L21" s="319"/>
      <c r="M21" s="319"/>
    </row>
    <row r="22" spans="2:13" ht="24.95" customHeight="1" x14ac:dyDescent="0.15">
      <c r="B22" s="49"/>
      <c r="C22" s="371" t="s">
        <v>18</v>
      </c>
      <c r="D22" s="357"/>
      <c r="E22" s="357"/>
      <c r="F22" s="357"/>
      <c r="G22" s="357"/>
      <c r="H22" s="357"/>
      <c r="I22" s="357"/>
      <c r="J22" s="358"/>
      <c r="K22" s="318"/>
      <c r="L22" s="319"/>
      <c r="M22" s="319"/>
    </row>
    <row r="23" spans="2:13" ht="24.95" customHeight="1" x14ac:dyDescent="0.15">
      <c r="B23" s="49"/>
      <c r="C23" s="371" t="s">
        <v>19</v>
      </c>
      <c r="D23" s="357"/>
      <c r="E23" s="357"/>
      <c r="F23" s="357"/>
      <c r="G23" s="357"/>
      <c r="H23" s="357"/>
      <c r="I23" s="357"/>
      <c r="J23" s="358"/>
      <c r="K23" s="318"/>
      <c r="L23" s="319"/>
      <c r="M23" s="319"/>
    </row>
    <row r="24" spans="2:13" ht="24.95" customHeight="1" x14ac:dyDescent="0.15">
      <c r="B24" s="49"/>
      <c r="C24" s="371" t="s">
        <v>20</v>
      </c>
      <c r="D24" s="357"/>
      <c r="E24" s="357"/>
      <c r="F24" s="357"/>
      <c r="G24" s="357"/>
      <c r="H24" s="357"/>
      <c r="I24" s="357"/>
      <c r="J24" s="358"/>
      <c r="K24" s="318"/>
      <c r="L24" s="319"/>
      <c r="M24" s="319"/>
    </row>
    <row r="25" spans="2:13" ht="24.95" customHeight="1" x14ac:dyDescent="0.15">
      <c r="B25" s="49"/>
      <c r="C25" s="371" t="s">
        <v>21</v>
      </c>
      <c r="D25" s="357"/>
      <c r="E25" s="357"/>
      <c r="F25" s="357"/>
      <c r="G25" s="357"/>
      <c r="H25" s="357"/>
      <c r="I25" s="357"/>
      <c r="J25" s="358"/>
      <c r="K25" s="318"/>
      <c r="L25" s="319"/>
      <c r="M25" s="319"/>
    </row>
    <row r="26" spans="2:13" ht="6" customHeight="1" x14ac:dyDescent="0.15">
      <c r="B26" s="49"/>
      <c r="C26" s="317"/>
      <c r="D26" s="317"/>
      <c r="E26" s="317"/>
      <c r="F26" s="317"/>
      <c r="G26" s="317"/>
      <c r="H26" s="317"/>
      <c r="I26" s="317"/>
      <c r="J26" s="318"/>
      <c r="K26" s="318"/>
      <c r="L26" s="319"/>
      <c r="M26" s="319"/>
    </row>
    <row r="27" spans="2:13" x14ac:dyDescent="0.15">
      <c r="K27" s="319"/>
      <c r="L27" s="319"/>
      <c r="M27" s="319"/>
    </row>
  </sheetData>
  <mergeCells count="15">
    <mergeCell ref="C22:J22"/>
    <mergeCell ref="C23:J23"/>
    <mergeCell ref="C24:J24"/>
    <mergeCell ref="C25:J25"/>
    <mergeCell ref="F15:J17"/>
    <mergeCell ref="C13:J13"/>
    <mergeCell ref="C14:J14"/>
    <mergeCell ref="C18:J18"/>
    <mergeCell ref="C20:J20"/>
    <mergeCell ref="C21:J21"/>
    <mergeCell ref="C6:J6"/>
    <mergeCell ref="C7:J7"/>
    <mergeCell ref="C8:J8"/>
    <mergeCell ref="C9:J9"/>
    <mergeCell ref="E10:J10"/>
  </mergeCells>
  <phoneticPr fontId="52" type="noConversion"/>
  <pageMargins left="0.7" right="0.7" top="0.75" bottom="0.75" header="0.3" footer="0.3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7"/>
  <sheetViews>
    <sheetView workbookViewId="0">
      <pane xSplit="1" ySplit="1" topLeftCell="B25" activePane="bottomRight" state="frozen"/>
      <selection pane="topRight"/>
      <selection pane="bottomLeft"/>
      <selection pane="bottomRight" activeCell="M48" sqref="M48"/>
    </sheetView>
  </sheetViews>
  <sheetFormatPr defaultColWidth="8.875" defaultRowHeight="13.5" x14ac:dyDescent="0.15"/>
  <cols>
    <col min="1" max="1" width="16.375" style="247" customWidth="1"/>
    <col min="2" max="11" width="11.625" style="247" customWidth="1"/>
    <col min="12" max="16384" width="8.875" style="247"/>
  </cols>
  <sheetData>
    <row r="1" spans="1:11" x14ac:dyDescent="0.15">
      <c r="A1" s="248" t="s">
        <v>22</v>
      </c>
      <c r="B1" s="437" t="s">
        <v>23</v>
      </c>
      <c r="C1" s="437" t="s">
        <v>24</v>
      </c>
      <c r="D1" s="437" t="s">
        <v>25</v>
      </c>
      <c r="E1" s="251" t="s">
        <v>26</v>
      </c>
      <c r="F1" s="251" t="s">
        <v>27</v>
      </c>
      <c r="G1" s="251" t="s">
        <v>28</v>
      </c>
      <c r="H1" s="251" t="s">
        <v>29</v>
      </c>
      <c r="I1" s="251" t="s">
        <v>30</v>
      </c>
      <c r="J1" s="251" t="s">
        <v>31</v>
      </c>
      <c r="K1" s="251" t="s">
        <v>32</v>
      </c>
    </row>
    <row r="2" spans="1:11" x14ac:dyDescent="0.15">
      <c r="A2" s="283" t="s">
        <v>33</v>
      </c>
      <c r="B2" s="284">
        <v>92447.27</v>
      </c>
      <c r="C2" s="284">
        <v>204306.2</v>
      </c>
      <c r="D2" s="284">
        <v>442269.62</v>
      </c>
      <c r="E2" s="284">
        <v>555418.66</v>
      </c>
      <c r="F2" s="284">
        <v>700116.7</v>
      </c>
      <c r="G2" s="284">
        <f>G8+G15+G22+G29+G36+G43+G50+G57</f>
        <v>839901.26015175297</v>
      </c>
      <c r="H2" s="284">
        <f t="shared" ref="H2:K2" si="0">H8+H15+H22+H29+H36+H43+H50+H57</f>
        <v>954359.43213554402</v>
      </c>
      <c r="I2" s="284">
        <f t="shared" si="0"/>
        <v>1115418.3935311553</v>
      </c>
      <c r="J2" s="284">
        <f t="shared" si="0"/>
        <v>1335817.0308211001</v>
      </c>
      <c r="K2" s="284">
        <f t="shared" si="0"/>
        <v>1656270.7351583226</v>
      </c>
    </row>
    <row r="3" spans="1:11" x14ac:dyDescent="0.15">
      <c r="A3" s="252" t="s">
        <v>34</v>
      </c>
      <c r="B3" s="280"/>
      <c r="C3" s="280">
        <f t="shared" ref="C3:F3" si="1">C2/B2-1</f>
        <v>1.2099754811580699</v>
      </c>
      <c r="D3" s="280">
        <f t="shared" si="1"/>
        <v>1.1647391023865157</v>
      </c>
      <c r="E3" s="280">
        <f t="shared" si="1"/>
        <v>0.25583724244952677</v>
      </c>
      <c r="F3" s="280">
        <f t="shared" si="1"/>
        <v>0.26052066741869973</v>
      </c>
      <c r="G3" s="280">
        <f t="shared" ref="G3" si="2">G2/F2-1</f>
        <v>0.19965894279018492</v>
      </c>
      <c r="H3" s="280">
        <f t="shared" ref="H3" si="3">H2/G2-1</f>
        <v>0.13627574741715565</v>
      </c>
      <c r="I3" s="280">
        <f t="shared" ref="I3" si="4">I2/H2-1</f>
        <v>0.16876132405923205</v>
      </c>
      <c r="J3" s="280">
        <f t="shared" ref="J3" si="5">J2/I2-1</f>
        <v>0.19759279438831379</v>
      </c>
      <c r="K3" s="280">
        <f t="shared" ref="K3" si="6">K2/J2-1</f>
        <v>0.23989341125576602</v>
      </c>
    </row>
    <row r="4" spans="1:11" x14ac:dyDescent="0.15">
      <c r="A4" s="283" t="s">
        <v>35</v>
      </c>
      <c r="B4" s="285">
        <v>70120.95</v>
      </c>
      <c r="C4" s="285">
        <v>149343.49</v>
      </c>
      <c r="D4" s="285">
        <v>308725.38</v>
      </c>
      <c r="E4" s="285">
        <v>394791.89</v>
      </c>
      <c r="F4" s="285">
        <v>502340.65</v>
      </c>
      <c r="G4" s="285">
        <f>G11+G18+G25+G32+G39+G46+G60+G53</f>
        <v>603611.68830701185</v>
      </c>
      <c r="H4" s="285">
        <f t="shared" ref="H4:K4" si="7">H11+H18+H25+H32+H39+H46+H60+H53</f>
        <v>684357.95226002939</v>
      </c>
      <c r="I4" s="285">
        <f t="shared" si="7"/>
        <v>798072.18981988577</v>
      </c>
      <c r="J4" s="285">
        <f t="shared" si="7"/>
        <v>955182.58287116245</v>
      </c>
      <c r="K4" s="285">
        <f t="shared" si="7"/>
        <v>1184594.6013208397</v>
      </c>
    </row>
    <row r="5" spans="1:11" x14ac:dyDescent="0.15">
      <c r="A5" s="252" t="s">
        <v>34</v>
      </c>
      <c r="B5" s="280"/>
      <c r="C5" s="280">
        <f t="shared" ref="C5:F5" si="8">(C4-B4)/B4</f>
        <v>1.1297984411220898</v>
      </c>
      <c r="D5" s="280">
        <f t="shared" si="8"/>
        <v>1.0672168569249321</v>
      </c>
      <c r="E5" s="280">
        <f t="shared" si="8"/>
        <v>0.27878015730355571</v>
      </c>
      <c r="F5" s="280">
        <f t="shared" si="8"/>
        <v>0.27241886858415459</v>
      </c>
      <c r="G5" s="280">
        <f t="shared" ref="G5" si="9">G4/F4-1</f>
        <v>0.20159833433151753</v>
      </c>
      <c r="H5" s="280">
        <f t="shared" ref="H5" si="10">H4/G4-1</f>
        <v>0.13377186942733288</v>
      </c>
      <c r="I5" s="280">
        <f t="shared" ref="I5" si="11">I4/H4-1</f>
        <v>0.16616192912543148</v>
      </c>
      <c r="J5" s="280">
        <f t="shared" ref="J5" si="12">J4/I4-1</f>
        <v>0.19686238294650305</v>
      </c>
      <c r="K5" s="280">
        <f t="shared" ref="K5" si="13">K4/J4-1</f>
        <v>0.24017609048114408</v>
      </c>
    </row>
    <row r="6" spans="1:11" x14ac:dyDescent="0.15">
      <c r="A6" s="352" t="s">
        <v>763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</row>
    <row r="7" spans="1:11" x14ac:dyDescent="0.15">
      <c r="A7" s="252" t="s">
        <v>36</v>
      </c>
      <c r="B7" s="253"/>
      <c r="C7" s="253"/>
      <c r="D7" s="253"/>
      <c r="E7" s="253"/>
      <c r="F7" s="253"/>
      <c r="G7" s="277"/>
      <c r="H7" s="277"/>
      <c r="I7" s="277"/>
      <c r="J7" s="277"/>
      <c r="K7" s="277"/>
    </row>
    <row r="8" spans="1:11" x14ac:dyDescent="0.15">
      <c r="A8" s="252" t="s">
        <v>37</v>
      </c>
      <c r="B8" s="286">
        <v>81184.45</v>
      </c>
      <c r="C8" s="286">
        <v>164039.78</v>
      </c>
      <c r="D8" s="286">
        <v>307824.01</v>
      </c>
      <c r="E8" s="286">
        <v>350545.22</v>
      </c>
      <c r="F8" s="286">
        <v>369629.66</v>
      </c>
      <c r="G8" s="254">
        <f>F8*(1+G9)</f>
        <v>397145.69139291102</v>
      </c>
      <c r="H8" s="254">
        <f t="shared" ref="H8:K8" si="14">G8*(1+H9)</f>
        <v>434652.98950726481</v>
      </c>
      <c r="I8" s="254">
        <f t="shared" si="14"/>
        <v>497435.2074585334</v>
      </c>
      <c r="J8" s="254">
        <f t="shared" si="14"/>
        <v>594157.58514045284</v>
      </c>
      <c r="K8" s="254">
        <f t="shared" si="14"/>
        <v>739394.75040468411</v>
      </c>
    </row>
    <row r="9" spans="1:11" x14ac:dyDescent="0.15">
      <c r="A9" s="252" t="s">
        <v>34</v>
      </c>
      <c r="B9" s="280"/>
      <c r="C9" s="280">
        <f t="shared" ref="C9:F9" si="15">C8/B8-1</f>
        <v>1.0205812812675332</v>
      </c>
      <c r="D9" s="280">
        <f t="shared" si="15"/>
        <v>0.87652050008845417</v>
      </c>
      <c r="E9" s="280">
        <f t="shared" si="15"/>
        <v>0.13878452821142817</v>
      </c>
      <c r="F9" s="280">
        <f t="shared" si="15"/>
        <v>5.4442162982567543E-2</v>
      </c>
      <c r="G9" s="287">
        <f>F9+2%</f>
        <v>7.4442162982567547E-2</v>
      </c>
      <c r="H9" s="287">
        <f>G9+2%</f>
        <v>9.4442162982567551E-2</v>
      </c>
      <c r="I9" s="287">
        <f>H9+5%</f>
        <v>0.14444216298256757</v>
      </c>
      <c r="J9" s="287">
        <f>I9+5%</f>
        <v>0.19444216298256756</v>
      </c>
      <c r="K9" s="287">
        <f>J9+5%</f>
        <v>0.24444216298256755</v>
      </c>
    </row>
    <row r="10" spans="1:11" x14ac:dyDescent="0.15">
      <c r="A10" s="252" t="s">
        <v>38</v>
      </c>
      <c r="B10" s="280">
        <f t="shared" ref="B10:D10" si="16">B8/B2</f>
        <v>0.87817033428894109</v>
      </c>
      <c r="C10" s="280">
        <f t="shared" si="16"/>
        <v>0.80291141433789082</v>
      </c>
      <c r="D10" s="280">
        <f t="shared" si="16"/>
        <v>0.6960098457587931</v>
      </c>
      <c r="E10" s="280">
        <f t="shared" ref="E10:K10" si="17">E8/E2</f>
        <v>0.63113691570967378</v>
      </c>
      <c r="F10" s="280">
        <f t="shared" si="17"/>
        <v>0.52795435389557199</v>
      </c>
      <c r="G10" s="280">
        <f t="shared" si="17"/>
        <v>0.47284807183305683</v>
      </c>
      <c r="H10" s="280">
        <f t="shared" si="17"/>
        <v>0.45543950724587451</v>
      </c>
      <c r="I10" s="280">
        <f t="shared" si="17"/>
        <v>0.44596288741820833</v>
      </c>
      <c r="J10" s="280">
        <f t="shared" si="17"/>
        <v>0.44478964665934528</v>
      </c>
      <c r="K10" s="280">
        <f t="shared" si="17"/>
        <v>0.44642143021020381</v>
      </c>
    </row>
    <row r="11" spans="1:11" x14ac:dyDescent="0.15">
      <c r="A11" s="252" t="s">
        <v>39</v>
      </c>
      <c r="B11" s="284">
        <f>B8-B12</f>
        <v>62717.149999999994</v>
      </c>
      <c r="C11" s="284">
        <f>C8-C12</f>
        <v>121381.94</v>
      </c>
      <c r="D11" s="284">
        <f>D8-D12</f>
        <v>220656.58000000002</v>
      </c>
      <c r="E11" s="284">
        <f t="shared" ref="E11:G11" si="18">E8-E12</f>
        <v>255567.86999999997</v>
      </c>
      <c r="F11" s="284">
        <f t="shared" si="18"/>
        <v>264892.83999999997</v>
      </c>
      <c r="G11" s="285">
        <f t="shared" si="18"/>
        <v>286279.71346242569</v>
      </c>
      <c r="H11" s="285">
        <f t="shared" ref="H11:K11" si="19">H8-H12</f>
        <v>313316.58881984686</v>
      </c>
      <c r="I11" s="285">
        <f t="shared" si="19"/>
        <v>358572.7146073053</v>
      </c>
      <c r="J11" s="285">
        <f t="shared" si="19"/>
        <v>428294.36882208067</v>
      </c>
      <c r="K11" s="285">
        <f t="shared" si="19"/>
        <v>532987.57073020353</v>
      </c>
    </row>
    <row r="12" spans="1:11" x14ac:dyDescent="0.15">
      <c r="A12" s="252" t="s">
        <v>40</v>
      </c>
      <c r="B12" s="286">
        <v>18467.3</v>
      </c>
      <c r="C12" s="286">
        <v>42657.84</v>
      </c>
      <c r="D12" s="286">
        <v>87167.43</v>
      </c>
      <c r="E12" s="286">
        <v>94977.35</v>
      </c>
      <c r="F12" s="286">
        <v>104736.82</v>
      </c>
      <c r="G12" s="286">
        <f>G8*G13</f>
        <v>110865.97793048531</v>
      </c>
      <c r="H12" s="286">
        <f t="shared" ref="H12:K12" si="20">H8*H13</f>
        <v>121336.40068741795</v>
      </c>
      <c r="I12" s="286">
        <f t="shared" si="20"/>
        <v>138862.4928512281</v>
      </c>
      <c r="J12" s="286">
        <f t="shared" si="20"/>
        <v>165863.2163183722</v>
      </c>
      <c r="K12" s="286">
        <f t="shared" si="20"/>
        <v>206407.17967448058</v>
      </c>
    </row>
    <row r="13" spans="1:11" x14ac:dyDescent="0.15">
      <c r="A13" s="252" t="s">
        <v>41</v>
      </c>
      <c r="B13" s="288">
        <f>B12/B8</f>
        <v>0.22747336466527765</v>
      </c>
      <c r="C13" s="288">
        <f>C12/C8</f>
        <v>0.26004570354824907</v>
      </c>
      <c r="D13" s="288">
        <f>D12/D8</f>
        <v>0.28317294027844025</v>
      </c>
      <c r="E13" s="288">
        <f t="shared" ref="E13:F13" si="21">E12/E8</f>
        <v>0.27094179176084621</v>
      </c>
      <c r="F13" s="288">
        <f t="shared" si="21"/>
        <v>0.2833561029707411</v>
      </c>
      <c r="G13" s="287">
        <f>AVERAGE(D13:F13)</f>
        <v>0.27915694500334254</v>
      </c>
      <c r="H13" s="287">
        <f>G13</f>
        <v>0.27915694500334254</v>
      </c>
      <c r="I13" s="287">
        <f t="shared" ref="I13:K13" si="22">H13</f>
        <v>0.27915694500334254</v>
      </c>
      <c r="J13" s="287">
        <f t="shared" si="22"/>
        <v>0.27915694500334254</v>
      </c>
      <c r="K13" s="287">
        <f t="shared" si="22"/>
        <v>0.27915694500334254</v>
      </c>
    </row>
    <row r="14" spans="1:11" x14ac:dyDescent="0.15">
      <c r="A14" s="252" t="s">
        <v>42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54"/>
    </row>
    <row r="15" spans="1:11" x14ac:dyDescent="0.15">
      <c r="A15" s="252" t="s">
        <v>37</v>
      </c>
      <c r="B15" s="253">
        <v>852.49</v>
      </c>
      <c r="C15" s="253">
        <v>17501.28</v>
      </c>
      <c r="D15" s="253">
        <v>86406.9</v>
      </c>
      <c r="E15" s="253">
        <v>140853.85999999999</v>
      </c>
      <c r="F15" s="253">
        <v>249857.75</v>
      </c>
      <c r="G15" s="277">
        <f>F15*(1+G16)</f>
        <v>343274.3967378423</v>
      </c>
      <c r="H15" s="277">
        <f t="shared" ref="H15:K15" si="23">G15*(1+H16)</f>
        <v>402962.71688760765</v>
      </c>
      <c r="I15" s="277">
        <f t="shared" si="23"/>
        <v>485118.48331946187</v>
      </c>
      <c r="J15" s="277">
        <f t="shared" si="23"/>
        <v>593726.48156410328</v>
      </c>
      <c r="K15" s="277">
        <f t="shared" si="23"/>
        <v>756335.88914611179</v>
      </c>
    </row>
    <row r="16" spans="1:11" x14ac:dyDescent="0.15">
      <c r="A16" s="252" t="s">
        <v>34</v>
      </c>
      <c r="B16" s="280"/>
      <c r="C16" s="280">
        <f t="shared" ref="C16:F16" si="24">C15/B15-1</f>
        <v>19.529601520252434</v>
      </c>
      <c r="D16" s="280">
        <f t="shared" si="24"/>
        <v>3.9371760236965523</v>
      </c>
      <c r="E16" s="280">
        <f t="shared" si="24"/>
        <v>0.63012282583914003</v>
      </c>
      <c r="F16" s="280">
        <f t="shared" si="24"/>
        <v>0.77387932428688866</v>
      </c>
      <c r="G16" s="436">
        <f>F16-40%</f>
        <v>0.37387932428688864</v>
      </c>
      <c r="H16" s="436">
        <f>G16-20%</f>
        <v>0.17387932428688863</v>
      </c>
      <c r="I16" s="436">
        <f>H16+3%</f>
        <v>0.20387932428688862</v>
      </c>
      <c r="J16" s="436">
        <f>I16+2%</f>
        <v>0.22387932428688861</v>
      </c>
      <c r="K16" s="436">
        <f>J16+5%</f>
        <v>0.2738793242868886</v>
      </c>
    </row>
    <row r="17" spans="1:11" x14ac:dyDescent="0.15">
      <c r="A17" s="252" t="s">
        <v>38</v>
      </c>
      <c r="B17" s="280">
        <f t="shared" ref="B17:D17" si="25">B15/B2</f>
        <v>9.221364784487417E-3</v>
      </c>
      <c r="C17" s="280">
        <f t="shared" si="25"/>
        <v>8.566201123607603E-2</v>
      </c>
      <c r="D17" s="280">
        <f t="shared" si="25"/>
        <v>0.19537154733802425</v>
      </c>
      <c r="E17" s="280">
        <f t="shared" ref="E17:K17" si="26">E15/E2</f>
        <v>0.2535994379447028</v>
      </c>
      <c r="F17" s="280">
        <f t="shared" si="26"/>
        <v>0.35688014583854377</v>
      </c>
      <c r="G17" s="280">
        <f t="shared" si="26"/>
        <v>0.40870803869947719</v>
      </c>
      <c r="H17" s="280">
        <f t="shared" si="26"/>
        <v>0.42223370285753764</v>
      </c>
      <c r="I17" s="280">
        <f t="shared" si="26"/>
        <v>0.4349206415573707</v>
      </c>
      <c r="J17" s="280">
        <f t="shared" si="26"/>
        <v>0.44446692014336081</v>
      </c>
      <c r="K17" s="280">
        <f t="shared" si="26"/>
        <v>0.45664991422662177</v>
      </c>
    </row>
    <row r="18" spans="1:11" x14ac:dyDescent="0.15">
      <c r="A18" s="252" t="s">
        <v>39</v>
      </c>
      <c r="B18" s="254">
        <f t="shared" ref="B18:K18" si="27">B15-B19</f>
        <v>678.71</v>
      </c>
      <c r="C18" s="254">
        <f t="shared" si="27"/>
        <v>12510.939999999999</v>
      </c>
      <c r="D18" s="254">
        <f t="shared" si="27"/>
        <v>56674.2</v>
      </c>
      <c r="E18" s="254">
        <f t="shared" si="27"/>
        <v>95916.4</v>
      </c>
      <c r="F18" s="254">
        <f t="shared" si="27"/>
        <v>177518.8</v>
      </c>
      <c r="G18" s="254">
        <f t="shared" si="27"/>
        <v>244298.16451691414</v>
      </c>
      <c r="H18" s="254">
        <f t="shared" si="27"/>
        <v>286776.56428764237</v>
      </c>
      <c r="I18" s="254">
        <f t="shared" si="27"/>
        <v>345244.37643592234</v>
      </c>
      <c r="J18" s="254">
        <f t="shared" si="27"/>
        <v>422537.4541462448</v>
      </c>
      <c r="K18" s="254">
        <f t="shared" si="27"/>
        <v>538261.72657372057</v>
      </c>
    </row>
    <row r="19" spans="1:11" x14ac:dyDescent="0.15">
      <c r="A19" s="252" t="s">
        <v>40</v>
      </c>
      <c r="B19" s="253">
        <v>173.78</v>
      </c>
      <c r="C19" s="253">
        <v>4990.34</v>
      </c>
      <c r="D19" s="253">
        <v>29732.7</v>
      </c>
      <c r="E19" s="253">
        <v>44937.46</v>
      </c>
      <c r="F19" s="253">
        <v>72338.95</v>
      </c>
      <c r="G19" s="277">
        <f>G15*G20</f>
        <v>98976.232220928156</v>
      </c>
      <c r="H19" s="277">
        <f t="shared" ref="H19:K19" si="28">H15*H20</f>
        <v>116186.15259996531</v>
      </c>
      <c r="I19" s="277">
        <f t="shared" si="28"/>
        <v>139874.10688353956</v>
      </c>
      <c r="J19" s="277">
        <f t="shared" si="28"/>
        <v>171189.02741785845</v>
      </c>
      <c r="K19" s="277">
        <f t="shared" si="28"/>
        <v>218074.16257239119</v>
      </c>
    </row>
    <row r="20" spans="1:11" x14ac:dyDescent="0.15">
      <c r="A20" s="252" t="s">
        <v>41</v>
      </c>
      <c r="B20" s="289">
        <f>B19/B15</f>
        <v>0.2038498985325341</v>
      </c>
      <c r="C20" s="289">
        <f>C19/C15</f>
        <v>0.28514142965543093</v>
      </c>
      <c r="D20" s="289">
        <f>D19/D15</f>
        <v>0.34410099193467192</v>
      </c>
      <c r="E20" s="289">
        <f>E19/E15</f>
        <v>0.31903605623587455</v>
      </c>
      <c r="F20" s="289">
        <f>F19/F15</f>
        <v>0.28952053718565862</v>
      </c>
      <c r="G20" s="287">
        <f>AVERAGE(B20:F20)</f>
        <v>0.28832978270883403</v>
      </c>
      <c r="H20" s="287">
        <f>G20</f>
        <v>0.28832978270883403</v>
      </c>
      <c r="I20" s="287">
        <f t="shared" ref="I20:K20" si="29">H20</f>
        <v>0.28832978270883403</v>
      </c>
      <c r="J20" s="287">
        <f t="shared" si="29"/>
        <v>0.28832978270883403</v>
      </c>
      <c r="K20" s="287">
        <f t="shared" si="29"/>
        <v>0.28832978270883403</v>
      </c>
    </row>
    <row r="21" spans="1:11" x14ac:dyDescent="0.15">
      <c r="A21" s="252" t="s">
        <v>43</v>
      </c>
      <c r="B21" s="253"/>
      <c r="C21" s="253"/>
      <c r="D21" s="253"/>
      <c r="E21" s="253"/>
      <c r="F21" s="253"/>
      <c r="G21" s="277"/>
      <c r="H21" s="277"/>
      <c r="I21" s="277"/>
      <c r="J21" s="277"/>
      <c r="K21" s="277"/>
    </row>
    <row r="22" spans="1:11" x14ac:dyDescent="0.15">
      <c r="A22" s="252" t="s">
        <v>37</v>
      </c>
      <c r="B22" s="254">
        <v>7828.06</v>
      </c>
      <c r="C22" s="254">
        <v>10779.81</v>
      </c>
      <c r="D22" s="254">
        <v>11785.86</v>
      </c>
      <c r="E22" s="254">
        <v>11329.94</v>
      </c>
      <c r="F22" s="254">
        <v>9810.6</v>
      </c>
      <c r="G22" s="254">
        <f>F22*(1+G23)</f>
        <v>9377.9568296707657</v>
      </c>
      <c r="H22" s="254">
        <f t="shared" ref="H22:K22" si="30">G22*(1+H23)</f>
        <v>9433.2908754639848</v>
      </c>
      <c r="I22" s="254">
        <f t="shared" si="30"/>
        <v>9724.783688208714</v>
      </c>
      <c r="J22" s="254">
        <f t="shared" si="30"/>
        <v>10268.403348527288</v>
      </c>
      <c r="K22" s="254">
        <f t="shared" si="30"/>
        <v>10842.411585554588</v>
      </c>
    </row>
    <row r="23" spans="1:11" x14ac:dyDescent="0.15">
      <c r="A23" s="252" t="s">
        <v>34</v>
      </c>
      <c r="B23" s="280"/>
      <c r="C23" s="280">
        <f t="shared" ref="C23:F23" si="31">C22/B22-1</f>
        <v>0.37707299126475768</v>
      </c>
      <c r="D23" s="280">
        <f t="shared" si="31"/>
        <v>9.3327247882847741E-2</v>
      </c>
      <c r="E23" s="280">
        <f t="shared" si="31"/>
        <v>-3.8683642941626628E-2</v>
      </c>
      <c r="F23" s="280">
        <f t="shared" si="31"/>
        <v>-0.13409956275143553</v>
      </c>
      <c r="G23" s="287">
        <f>F23+9%</f>
        <v>-4.4099562751435534E-2</v>
      </c>
      <c r="H23" s="287">
        <f>G23+5%</f>
        <v>5.9004372485644691E-3</v>
      </c>
      <c r="I23" s="287">
        <f>H23+2.5%</f>
        <v>3.090043724856447E-2</v>
      </c>
      <c r="J23" s="287">
        <f>I23+2.5%</f>
        <v>5.5900437248564472E-2</v>
      </c>
      <c r="K23" s="287">
        <f>J23</f>
        <v>5.5900437248564472E-2</v>
      </c>
    </row>
    <row r="24" spans="1:11" x14ac:dyDescent="0.15">
      <c r="A24" s="252" t="s">
        <v>38</v>
      </c>
      <c r="B24" s="280">
        <f t="shared" ref="B24:K24" si="32">B22/B2</f>
        <v>8.4675945541712594E-2</v>
      </c>
      <c r="C24" s="280">
        <f t="shared" si="32"/>
        <v>5.2763009639452935E-2</v>
      </c>
      <c r="D24" s="280">
        <f t="shared" si="32"/>
        <v>2.6648585991504461E-2</v>
      </c>
      <c r="E24" s="280">
        <f t="shared" si="32"/>
        <v>2.0398918538314863E-2</v>
      </c>
      <c r="F24" s="280">
        <f t="shared" si="32"/>
        <v>1.4012806722079335E-2</v>
      </c>
      <c r="G24" s="280">
        <f t="shared" si="32"/>
        <v>1.1165546802461471E-2</v>
      </c>
      <c r="H24" s="280">
        <f t="shared" si="32"/>
        <v>9.8844214850534531E-3</v>
      </c>
      <c r="I24" s="280">
        <f t="shared" si="32"/>
        <v>8.7185075525088931E-3</v>
      </c>
      <c r="J24" s="280">
        <f t="shared" si="32"/>
        <v>7.686983405366157E-3</v>
      </c>
      <c r="K24" s="280">
        <f t="shared" si="32"/>
        <v>6.5462797569252251E-3</v>
      </c>
    </row>
    <row r="25" spans="1:11" x14ac:dyDescent="0.15">
      <c r="A25" s="252" t="s">
        <v>39</v>
      </c>
      <c r="B25" s="253">
        <f>B22-B26</f>
        <v>5346.41</v>
      </c>
      <c r="C25" s="253">
        <f>C22-C26</f>
        <v>6461.7999999999993</v>
      </c>
      <c r="D25" s="253">
        <f>D22-D26</f>
        <v>6737.1200000000008</v>
      </c>
      <c r="E25" s="253">
        <f t="shared" ref="E25:F25" si="33">E22-E26</f>
        <v>6601.5400000000009</v>
      </c>
      <c r="F25" s="253">
        <f t="shared" si="33"/>
        <v>5943.7800000000007</v>
      </c>
      <c r="G25" s="253">
        <f t="shared" ref="G25" si="34">G22-G26</f>
        <v>5486.1047453573983</v>
      </c>
      <c r="H25" s="253">
        <f t="shared" ref="H25" si="35">H22-H26</f>
        <v>5518.4751621464311</v>
      </c>
      <c r="I25" s="253">
        <f t="shared" ref="I25" si="36">I22-I26</f>
        <v>5688.9984576020979</v>
      </c>
      <c r="J25" s="253">
        <f t="shared" ref="J25" si="37">J22-J26</f>
        <v>6007.0159588884644</v>
      </c>
      <c r="K25" s="253">
        <f t="shared" ref="K25" si="38">K22-K26</f>
        <v>6342.8107775494345</v>
      </c>
    </row>
    <row r="26" spans="1:11" x14ac:dyDescent="0.15">
      <c r="A26" s="252" t="s">
        <v>40</v>
      </c>
      <c r="B26" s="254">
        <v>2481.65</v>
      </c>
      <c r="C26" s="254">
        <v>4318.01</v>
      </c>
      <c r="D26" s="254">
        <v>5048.74</v>
      </c>
      <c r="E26" s="254">
        <v>4728.3999999999996</v>
      </c>
      <c r="F26" s="254">
        <v>3866.82</v>
      </c>
      <c r="G26" s="254">
        <f>G22*G27</f>
        <v>3891.8520843133674</v>
      </c>
      <c r="H26" s="254">
        <f t="shared" ref="H26:K26" si="39">H22*H27</f>
        <v>3914.8157133175537</v>
      </c>
      <c r="I26" s="254">
        <f t="shared" si="39"/>
        <v>4035.7852306066161</v>
      </c>
      <c r="J26" s="254">
        <f t="shared" si="39"/>
        <v>4261.3873896388241</v>
      </c>
      <c r="K26" s="254">
        <f t="shared" si="39"/>
        <v>4499.6008080051533</v>
      </c>
    </row>
    <row r="27" spans="1:11" x14ac:dyDescent="0.15">
      <c r="A27" s="252" t="s">
        <v>41</v>
      </c>
      <c r="B27" s="288">
        <f>B26/B22</f>
        <v>0.317019798008702</v>
      </c>
      <c r="C27" s="288">
        <f>C26/C22</f>
        <v>0.40056457395816814</v>
      </c>
      <c r="D27" s="288">
        <f>D26/D22</f>
        <v>0.42837264315035134</v>
      </c>
      <c r="E27" s="288">
        <f t="shared" ref="E27:F27" si="40">E26/E22</f>
        <v>0.41733672022976287</v>
      </c>
      <c r="F27" s="288">
        <f t="shared" si="40"/>
        <v>0.39414714696348846</v>
      </c>
      <c r="G27" s="287">
        <v>0.41499999999999998</v>
      </c>
      <c r="H27" s="287">
        <v>0.41499999999999998</v>
      </c>
      <c r="I27" s="287">
        <v>0.41499999999999998</v>
      </c>
      <c r="J27" s="287">
        <v>0.41499999999999998</v>
      </c>
      <c r="K27" s="287">
        <v>0.41499999999999998</v>
      </c>
    </row>
    <row r="28" spans="1:11" x14ac:dyDescent="0.15">
      <c r="A28" s="252" t="s">
        <v>44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</row>
    <row r="29" spans="1:11" x14ac:dyDescent="0.15">
      <c r="A29" s="252" t="s">
        <v>37</v>
      </c>
      <c r="B29" s="253">
        <v>277.16000000000003</v>
      </c>
      <c r="C29" s="253">
        <v>9277.15</v>
      </c>
      <c r="D29" s="253">
        <v>29317.919999999998</v>
      </c>
      <c r="E29" s="253">
        <v>41507.879999999997</v>
      </c>
      <c r="F29" s="253">
        <v>49275.64</v>
      </c>
      <c r="G29" s="277">
        <f>F29*(G30+1)</f>
        <v>57511.541190943404</v>
      </c>
      <c r="H29" s="277">
        <f t="shared" ref="H29:K29" si="41">G29*(H30+1)</f>
        <v>65973.755189504955</v>
      </c>
      <c r="I29" s="277">
        <f t="shared" si="41"/>
        <v>74361.619223936679</v>
      </c>
      <c r="J29" s="277">
        <f t="shared" si="41"/>
        <v>82328.678923316591</v>
      </c>
      <c r="K29" s="277">
        <f t="shared" si="41"/>
        <v>89502.751086545031</v>
      </c>
    </row>
    <row r="30" spans="1:11" x14ac:dyDescent="0.15">
      <c r="A30" s="252" t="s">
        <v>34</v>
      </c>
      <c r="B30" s="280"/>
      <c r="C30" s="280">
        <f t="shared" ref="C30:F30" si="42">C29/B29-1</f>
        <v>32.472182133063932</v>
      </c>
      <c r="D30" s="280">
        <f t="shared" si="42"/>
        <v>2.1602291652069869</v>
      </c>
      <c r="E30" s="280">
        <f t="shared" si="42"/>
        <v>0.41578529445472268</v>
      </c>
      <c r="F30" s="280">
        <f t="shared" si="42"/>
        <v>0.18713940581884692</v>
      </c>
      <c r="G30" s="287">
        <f>F30-2%</f>
        <v>0.16713940581884693</v>
      </c>
      <c r="H30" s="287">
        <f>G30-2%</f>
        <v>0.14713940581884694</v>
      </c>
      <c r="I30" s="287">
        <f>H30-2%</f>
        <v>0.12713940581884695</v>
      </c>
      <c r="J30" s="287">
        <f>I30-2%</f>
        <v>0.10713940581884694</v>
      </c>
      <c r="K30" s="287">
        <f>J30-2%</f>
        <v>8.7139405818846938E-2</v>
      </c>
    </row>
    <row r="31" spans="1:11" x14ac:dyDescent="0.15">
      <c r="A31" s="252" t="s">
        <v>38</v>
      </c>
      <c r="B31" s="280">
        <f t="shared" ref="B31:K31" si="43">B29/B2</f>
        <v>2.9980333653984591E-3</v>
      </c>
      <c r="C31" s="280">
        <f t="shared" si="43"/>
        <v>4.5408068869177733E-2</v>
      </c>
      <c r="D31" s="280">
        <f t="shared" si="43"/>
        <v>6.6289699030197907E-2</v>
      </c>
      <c r="E31" s="280">
        <f t="shared" si="43"/>
        <v>7.4732599009187037E-2</v>
      </c>
      <c r="F31" s="280">
        <f t="shared" si="43"/>
        <v>7.0382037737422923E-2</v>
      </c>
      <c r="G31" s="280">
        <f t="shared" si="43"/>
        <v>6.8474169428620987E-2</v>
      </c>
      <c r="H31" s="280">
        <f t="shared" si="43"/>
        <v>6.9128834449592322E-2</v>
      </c>
      <c r="I31" s="280">
        <f t="shared" si="43"/>
        <v>6.6667018990537785E-2</v>
      </c>
      <c r="J31" s="280">
        <f t="shared" si="43"/>
        <v>6.1631703312474459E-2</v>
      </c>
      <c r="K31" s="280">
        <f t="shared" si="43"/>
        <v>5.4038720353281784E-2</v>
      </c>
    </row>
    <row r="32" spans="1:11" x14ac:dyDescent="0.15">
      <c r="A32" s="252" t="s">
        <v>39</v>
      </c>
      <c r="B32" s="254">
        <f>B29-B33</f>
        <v>201.87</v>
      </c>
      <c r="C32" s="254">
        <f>C29-C33</f>
        <v>7450.1399999999994</v>
      </c>
      <c r="D32" s="254">
        <f>D29-D33</f>
        <v>20545.919999999998</v>
      </c>
      <c r="E32" s="254">
        <f t="shared" ref="E32:G32" si="44">E29-E33</f>
        <v>29518.299999999996</v>
      </c>
      <c r="F32" s="254">
        <f t="shared" si="44"/>
        <v>37150.379999999997</v>
      </c>
      <c r="G32" s="254">
        <f t="shared" si="44"/>
        <v>42209.441615325501</v>
      </c>
      <c r="H32" s="254">
        <f t="shared" ref="H32:K32" si="45">H29-H33</f>
        <v>47100.638670759705</v>
      </c>
      <c r="I32" s="254">
        <f t="shared" si="45"/>
        <v>51973.561596689244</v>
      </c>
      <c r="J32" s="254">
        <f t="shared" si="45"/>
        <v>56718.691315214601</v>
      </c>
      <c r="K32" s="254">
        <f t="shared" si="45"/>
        <v>61661.124375244995</v>
      </c>
    </row>
    <row r="33" spans="1:11" x14ac:dyDescent="0.15">
      <c r="A33" s="252" t="s">
        <v>40</v>
      </c>
      <c r="B33" s="253">
        <v>75.290000000000006</v>
      </c>
      <c r="C33" s="253">
        <v>1827.01</v>
      </c>
      <c r="D33" s="253">
        <v>8772</v>
      </c>
      <c r="E33" s="253">
        <v>11989.58</v>
      </c>
      <c r="F33" s="253">
        <v>12125.26</v>
      </c>
      <c r="G33" s="277">
        <f>G29*G34</f>
        <v>15302.099575617902</v>
      </c>
      <c r="H33" s="277">
        <f t="shared" ref="H33:K33" si="46">H29*H34</f>
        <v>18873.11651874525</v>
      </c>
      <c r="I33" s="277">
        <f t="shared" si="46"/>
        <v>22388.057627247435</v>
      </c>
      <c r="J33" s="277">
        <f t="shared" si="46"/>
        <v>25609.987608101994</v>
      </c>
      <c r="K33" s="277">
        <f t="shared" si="46"/>
        <v>27841.626711300036</v>
      </c>
    </row>
    <row r="34" spans="1:11" x14ac:dyDescent="0.15">
      <c r="A34" s="252" t="s">
        <v>41</v>
      </c>
      <c r="B34" s="289">
        <f>B33/B29</f>
        <v>0.27164814547553762</v>
      </c>
      <c r="C34" s="289">
        <f>C33/C29</f>
        <v>0.19693655918035174</v>
      </c>
      <c r="D34" s="289">
        <f>D33/D29</f>
        <v>0.29920267194944256</v>
      </c>
      <c r="E34" s="289">
        <f t="shared" ref="E34:F34" si="47">E33/E29</f>
        <v>0.28885069533784913</v>
      </c>
      <c r="F34" s="289">
        <f t="shared" si="47"/>
        <v>0.24607006626397954</v>
      </c>
      <c r="G34" s="287">
        <f>F34+2%</f>
        <v>0.26607006626397955</v>
      </c>
      <c r="H34" s="287">
        <f>G34+2%</f>
        <v>0.28607006626397957</v>
      </c>
      <c r="I34" s="287">
        <f>H34+1.5%</f>
        <v>0.30107006626397959</v>
      </c>
      <c r="J34" s="287">
        <f>I34+1%</f>
        <v>0.31107006626397959</v>
      </c>
      <c r="K34" s="287">
        <f>J34</f>
        <v>0.31107006626397959</v>
      </c>
    </row>
    <row r="35" spans="1:11" x14ac:dyDescent="0.15">
      <c r="A35" s="252" t="s">
        <v>45</v>
      </c>
      <c r="B35" s="253"/>
      <c r="C35" s="253"/>
      <c r="D35" s="253"/>
      <c r="E35" s="253"/>
      <c r="F35" s="253"/>
      <c r="G35" s="277"/>
      <c r="H35" s="277"/>
      <c r="I35" s="277"/>
      <c r="J35" s="277"/>
      <c r="K35" s="277"/>
    </row>
    <row r="36" spans="1:11" x14ac:dyDescent="0.15">
      <c r="A36" s="252" t="s">
        <v>37</v>
      </c>
      <c r="B36" s="254">
        <v>2265.5500000000002</v>
      </c>
      <c r="C36" s="254">
        <v>2340.19</v>
      </c>
      <c r="D36" s="254">
        <v>3017.51</v>
      </c>
      <c r="E36" s="254">
        <v>1225.31</v>
      </c>
      <c r="F36" s="254">
        <v>424.71</v>
      </c>
      <c r="G36" s="254">
        <f>F36*(1+G37)</f>
        <v>317.09457046788162</v>
      </c>
      <c r="H36" s="254">
        <f t="shared" ref="H36:K36" si="48">G36*(1+H37)</f>
        <v>300.16626315578429</v>
      </c>
      <c r="I36" s="254">
        <f t="shared" si="48"/>
        <v>300.16626315578429</v>
      </c>
      <c r="J36" s="254">
        <f t="shared" si="48"/>
        <v>300.16626315578429</v>
      </c>
      <c r="K36" s="254">
        <f t="shared" si="48"/>
        <v>300.16626315578429</v>
      </c>
    </row>
    <row r="37" spans="1:11" x14ac:dyDescent="0.15">
      <c r="A37" s="252" t="s">
        <v>34</v>
      </c>
      <c r="B37" s="280"/>
      <c r="C37" s="280">
        <f t="shared" ref="C37:F37" si="49">C36/B36-1</f>
        <v>3.2945642338504832E-2</v>
      </c>
      <c r="D37" s="280">
        <f t="shared" si="49"/>
        <v>0.28942949076784363</v>
      </c>
      <c r="E37" s="280">
        <f t="shared" si="49"/>
        <v>-0.59393340867138811</v>
      </c>
      <c r="F37" s="280">
        <f t="shared" si="49"/>
        <v>-0.65338567382947987</v>
      </c>
      <c r="G37" s="287">
        <f>F37+40%</f>
        <v>-0.25338567382947985</v>
      </c>
      <c r="H37" s="287">
        <f>G37+20%</f>
        <v>-5.3385673829479841E-2</v>
      </c>
      <c r="I37" s="287">
        <v>0</v>
      </c>
      <c r="J37" s="287">
        <v>0</v>
      </c>
      <c r="K37" s="287">
        <v>0</v>
      </c>
    </row>
    <row r="38" spans="1:11" x14ac:dyDescent="0.15">
      <c r="A38" s="252" t="s">
        <v>38</v>
      </c>
      <c r="B38" s="280">
        <f t="shared" ref="B38:K38" si="50">B36/B2</f>
        <v>2.4506402406474524E-2</v>
      </c>
      <c r="C38" s="280">
        <f t="shared" si="50"/>
        <v>1.1454326887779226E-2</v>
      </c>
      <c r="D38" s="280">
        <f t="shared" si="50"/>
        <v>6.8227838032374919E-3</v>
      </c>
      <c r="E38" s="280">
        <f t="shared" si="50"/>
        <v>2.206101609909901E-3</v>
      </c>
      <c r="F38" s="280">
        <f t="shared" si="50"/>
        <v>6.0662743796855584E-4</v>
      </c>
      <c r="G38" s="280">
        <f t="shared" si="50"/>
        <v>3.7753791488607738E-4</v>
      </c>
      <c r="H38" s="280">
        <f t="shared" si="50"/>
        <v>3.1452118881888187E-4</v>
      </c>
      <c r="I38" s="280">
        <f t="shared" si="50"/>
        <v>2.6910643118007734E-4</v>
      </c>
      <c r="J38" s="280">
        <f t="shared" si="50"/>
        <v>2.2470612084596502E-4</v>
      </c>
      <c r="K38" s="280">
        <f t="shared" si="50"/>
        <v>1.8123019189075478E-4</v>
      </c>
    </row>
    <row r="39" spans="1:11" x14ac:dyDescent="0.15">
      <c r="A39" s="252" t="s">
        <v>39</v>
      </c>
      <c r="B39" s="253">
        <f>B36-B40</f>
        <v>1136.7500000000002</v>
      </c>
      <c r="C39" s="253">
        <f>C36-C40</f>
        <v>1190.94</v>
      </c>
      <c r="D39" s="253">
        <f>D36-D40</f>
        <v>1613.0200000000002</v>
      </c>
      <c r="E39" s="253">
        <f t="shared" ref="E39:G39" si="51">E36-E40</f>
        <v>615.88</v>
      </c>
      <c r="F39" s="253">
        <f t="shared" si="51"/>
        <v>196.40999999999997</v>
      </c>
      <c r="G39" s="277">
        <f t="shared" si="51"/>
        <v>142.69255671054671</v>
      </c>
      <c r="H39" s="277">
        <f t="shared" ref="H39:K39" si="52">H36-H40</f>
        <v>135.07481842010293</v>
      </c>
      <c r="I39" s="277">
        <f t="shared" si="52"/>
        <v>135.07481842010293</v>
      </c>
      <c r="J39" s="277">
        <f t="shared" si="52"/>
        <v>135.07481842010293</v>
      </c>
      <c r="K39" s="277">
        <f t="shared" si="52"/>
        <v>135.07481842010293</v>
      </c>
    </row>
    <row r="40" spans="1:11" x14ac:dyDescent="0.15">
      <c r="A40" s="252" t="s">
        <v>40</v>
      </c>
      <c r="B40" s="254">
        <v>1128.8</v>
      </c>
      <c r="C40" s="254">
        <v>1149.25</v>
      </c>
      <c r="D40" s="254">
        <v>1404.49</v>
      </c>
      <c r="E40" s="254">
        <v>609.42999999999995</v>
      </c>
      <c r="F40" s="254">
        <v>228.3</v>
      </c>
      <c r="G40" s="254">
        <f>G36*G41</f>
        <v>174.40201375733491</v>
      </c>
      <c r="H40" s="254">
        <f t="shared" ref="H40:K40" si="53">H36*H41</f>
        <v>165.09144473568136</v>
      </c>
      <c r="I40" s="254">
        <f t="shared" si="53"/>
        <v>165.09144473568136</v>
      </c>
      <c r="J40" s="254">
        <f t="shared" si="53"/>
        <v>165.09144473568136</v>
      </c>
      <c r="K40" s="254">
        <f t="shared" si="53"/>
        <v>165.09144473568136</v>
      </c>
    </row>
    <row r="41" spans="1:11" x14ac:dyDescent="0.15">
      <c r="A41" s="252" t="s">
        <v>41</v>
      </c>
      <c r="B41" s="288">
        <f>B40/B36</f>
        <v>0.49824545916002733</v>
      </c>
      <c r="C41" s="288">
        <f>C40/C36</f>
        <v>0.49109260359201601</v>
      </c>
      <c r="D41" s="288">
        <f>D40/D36</f>
        <v>0.46544667623305302</v>
      </c>
      <c r="E41" s="288">
        <f t="shared" ref="E41:F41" si="54">E40/E36</f>
        <v>0.49736801299263039</v>
      </c>
      <c r="F41" s="288">
        <f t="shared" si="54"/>
        <v>0.53754326481599213</v>
      </c>
      <c r="G41" s="287">
        <v>0.55000000000000004</v>
      </c>
      <c r="H41" s="287">
        <v>0.55000000000000004</v>
      </c>
      <c r="I41" s="287">
        <v>0.55000000000000004</v>
      </c>
      <c r="J41" s="287">
        <v>0.55000000000000004</v>
      </c>
      <c r="K41" s="287">
        <v>0.55000000000000004</v>
      </c>
    </row>
    <row r="42" spans="1:11" x14ac:dyDescent="0.15">
      <c r="A42" s="252" t="s">
        <v>46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</row>
    <row r="43" spans="1:11" x14ac:dyDescent="0.15">
      <c r="A43" s="252" t="s">
        <v>37</v>
      </c>
      <c r="B43" s="253"/>
      <c r="C43" s="253"/>
      <c r="D43" s="253">
        <v>2487.77</v>
      </c>
      <c r="E43" s="253">
        <v>7515.17</v>
      </c>
      <c r="F43" s="253">
        <v>18719.57</v>
      </c>
      <c r="G43" s="277">
        <f>F43*(1+G44)</f>
        <v>29781.046229917622</v>
      </c>
      <c r="H43" s="277">
        <f t="shared" ref="H43:K43" si="55">G43*(1+H44)</f>
        <v>38444.483536546883</v>
      </c>
      <c r="I43" s="277">
        <f t="shared" si="55"/>
        <v>45783.704498378691</v>
      </c>
      <c r="J43" s="277">
        <f t="shared" si="55"/>
        <v>52234.829790191834</v>
      </c>
      <c r="K43" s="277">
        <f t="shared" si="55"/>
        <v>56983.205514111185</v>
      </c>
    </row>
    <row r="44" spans="1:11" x14ac:dyDescent="0.15">
      <c r="A44" s="252" t="s">
        <v>34</v>
      </c>
      <c r="B44" s="254"/>
      <c r="C44" s="254"/>
      <c r="D44" s="254"/>
      <c r="E44" s="290">
        <f>E43/D43-1</f>
        <v>2.0208459785269537</v>
      </c>
      <c r="F44" s="290">
        <f>F43/E43-1</f>
        <v>1.4909043973722484</v>
      </c>
      <c r="G44" s="287">
        <f>F44-90%</f>
        <v>0.59090439737224842</v>
      </c>
      <c r="H44" s="287">
        <f>G44-30%</f>
        <v>0.29090439737224844</v>
      </c>
      <c r="I44" s="287">
        <f>H44-10%</f>
        <v>0.19090439737224843</v>
      </c>
      <c r="J44" s="287">
        <f>I44-5%</f>
        <v>0.14090439737224841</v>
      </c>
      <c r="K44" s="287">
        <f>J44-5%</f>
        <v>9.0904397372248411E-2</v>
      </c>
    </row>
    <row r="45" spans="1:11" x14ac:dyDescent="0.15">
      <c r="A45" s="252" t="s">
        <v>38</v>
      </c>
      <c r="B45" s="290"/>
      <c r="C45" s="290"/>
      <c r="D45" s="290">
        <f>D43/D2</f>
        <v>5.6250076593549426E-3</v>
      </c>
      <c r="E45" s="290">
        <f t="shared" ref="E45:K45" si="56">E43/E2</f>
        <v>1.35306401120913E-2</v>
      </c>
      <c r="F45" s="290">
        <f t="shared" si="56"/>
        <v>2.673778528636726E-2</v>
      </c>
      <c r="G45" s="290">
        <f t="shared" si="56"/>
        <v>3.545779443709466E-2</v>
      </c>
      <c r="H45" s="290">
        <f t="shared" si="56"/>
        <v>4.0283023609376092E-2</v>
      </c>
      <c r="I45" s="290">
        <f t="shared" si="56"/>
        <v>4.104621616776296E-2</v>
      </c>
      <c r="J45" s="290">
        <f t="shared" si="56"/>
        <v>3.910328180056525E-2</v>
      </c>
      <c r="K45" s="290">
        <f t="shared" si="56"/>
        <v>3.4404523550712968E-2</v>
      </c>
    </row>
    <row r="46" spans="1:11" x14ac:dyDescent="0.15">
      <c r="A46" s="252" t="s">
        <v>39</v>
      </c>
      <c r="B46" s="253"/>
      <c r="C46" s="253"/>
      <c r="D46" s="253">
        <f>D43-D47</f>
        <v>1736.02</v>
      </c>
      <c r="E46" s="253">
        <f t="shared" ref="E46:G46" si="57">E43-E47</f>
        <v>5881.79</v>
      </c>
      <c r="F46" s="253">
        <f t="shared" si="57"/>
        <v>15797.52</v>
      </c>
      <c r="G46" s="277">
        <f t="shared" si="57"/>
        <v>24238.912648678514</v>
      </c>
      <c r="H46" s="277">
        <f t="shared" ref="H46:K46" si="58">H43-H47</f>
        <v>30521.229254969974</v>
      </c>
      <c r="I46" s="277">
        <f t="shared" si="58"/>
        <v>35432.192042982679</v>
      </c>
      <c r="J46" s="277">
        <f t="shared" si="58"/>
        <v>40424.743710376926</v>
      </c>
      <c r="K46" s="277">
        <f t="shared" si="58"/>
        <v>44099.53067629633</v>
      </c>
    </row>
    <row r="47" spans="1:11" x14ac:dyDescent="0.15">
      <c r="A47" s="252" t="s">
        <v>40</v>
      </c>
      <c r="B47" s="254"/>
      <c r="C47" s="254"/>
      <c r="D47" s="254">
        <v>751.75</v>
      </c>
      <c r="E47" s="254">
        <v>1633.38</v>
      </c>
      <c r="F47" s="254">
        <v>2922.05</v>
      </c>
      <c r="G47" s="254">
        <f>G43*G48</f>
        <v>5542.133581239108</v>
      </c>
      <c r="H47" s="254">
        <f t="shared" ref="H47:K47" si="59">H43*H48</f>
        <v>7923.2542815769093</v>
      </c>
      <c r="I47" s="254">
        <f t="shared" si="59"/>
        <v>10351.51245539601</v>
      </c>
      <c r="J47" s="254">
        <f t="shared" si="59"/>
        <v>11810.086079814906</v>
      </c>
      <c r="K47" s="254">
        <f t="shared" si="59"/>
        <v>12883.674837814859</v>
      </c>
    </row>
    <row r="48" spans="1:11" x14ac:dyDescent="0.15">
      <c r="A48" s="252" t="s">
        <v>41</v>
      </c>
      <c r="B48" s="288"/>
      <c r="C48" s="288"/>
      <c r="D48" s="288">
        <f>D47/D43</f>
        <v>0.30217825602849135</v>
      </c>
      <c r="E48" s="288">
        <f t="shared" ref="E48:F48" si="60">E47/E43</f>
        <v>0.2173443847577633</v>
      </c>
      <c r="F48" s="288">
        <f t="shared" si="60"/>
        <v>0.15609600006837765</v>
      </c>
      <c r="G48" s="287">
        <f>F48+3%</f>
        <v>0.18609600006837765</v>
      </c>
      <c r="H48" s="287">
        <f>G48+2%</f>
        <v>0.20609600006837764</v>
      </c>
      <c r="I48" s="287">
        <f>H48+2%</f>
        <v>0.22609600006837763</v>
      </c>
      <c r="J48" s="287">
        <f>I48</f>
        <v>0.22609600006837763</v>
      </c>
      <c r="K48" s="287">
        <f>J48</f>
        <v>0.22609600006837763</v>
      </c>
    </row>
    <row r="49" spans="1:11" x14ac:dyDescent="0.15">
      <c r="A49" s="252" t="s">
        <v>47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4"/>
    </row>
    <row r="50" spans="1:11" x14ac:dyDescent="0.15">
      <c r="A50" s="252" t="s">
        <v>48</v>
      </c>
      <c r="B50" s="253">
        <v>39.56</v>
      </c>
      <c r="C50" s="253">
        <v>367.99</v>
      </c>
      <c r="D50" s="253">
        <v>1427.93</v>
      </c>
      <c r="E50" s="253">
        <v>2300.36</v>
      </c>
      <c r="F50" s="253">
        <v>2277.9499999999998</v>
      </c>
      <c r="G50" s="277">
        <f>F50*(1+G51)</f>
        <v>2369.0679999999998</v>
      </c>
      <c r="H50" s="277">
        <f t="shared" ref="H50:K50" si="61">G50*(1+H51)</f>
        <v>2463.8307199999999</v>
      </c>
      <c r="I50" s="277">
        <f t="shared" si="61"/>
        <v>2562.3839487999999</v>
      </c>
      <c r="J50" s="277">
        <f t="shared" si="61"/>
        <v>2664.879306752</v>
      </c>
      <c r="K50" s="277">
        <f t="shared" si="61"/>
        <v>2771.4744790220802</v>
      </c>
    </row>
    <row r="51" spans="1:11" x14ac:dyDescent="0.15">
      <c r="A51" s="252" t="s">
        <v>34</v>
      </c>
      <c r="B51" s="280"/>
      <c r="C51" s="280">
        <f>C50/B50-1</f>
        <v>8.3020728008088973</v>
      </c>
      <c r="D51" s="280">
        <f t="shared" ref="D51:F51" si="62">D50/C50-1</f>
        <v>2.8803500095111283</v>
      </c>
      <c r="E51" s="280">
        <f t="shared" si="62"/>
        <v>0.61097532792223719</v>
      </c>
      <c r="F51" s="280">
        <f t="shared" si="62"/>
        <v>-9.7419534333758051E-3</v>
      </c>
      <c r="G51" s="281">
        <v>0.04</v>
      </c>
      <c r="H51" s="281">
        <v>0.04</v>
      </c>
      <c r="I51" s="281">
        <v>0.04</v>
      </c>
      <c r="J51" s="281">
        <v>0.04</v>
      </c>
      <c r="K51" s="281">
        <v>0.04</v>
      </c>
    </row>
    <row r="52" spans="1:11" x14ac:dyDescent="0.15">
      <c r="A52" s="252" t="s">
        <v>49</v>
      </c>
      <c r="B52" s="291">
        <f>B50/B2</f>
        <v>4.2791961298586754E-4</v>
      </c>
      <c r="C52" s="291">
        <f t="shared" ref="C52:K52" si="63">C50/C2</f>
        <v>1.8011690296231833E-3</v>
      </c>
      <c r="D52" s="291">
        <f t="shared" si="63"/>
        <v>3.2286413884815334E-3</v>
      </c>
      <c r="E52" s="291">
        <f t="shared" si="63"/>
        <v>4.1416685568324259E-3</v>
      </c>
      <c r="F52" s="291">
        <f t="shared" si="63"/>
        <v>3.2536718521355081E-3</v>
      </c>
      <c r="G52" s="291">
        <f t="shared" si="63"/>
        <v>2.8206506078725939E-3</v>
      </c>
      <c r="H52" s="291">
        <f t="shared" si="63"/>
        <v>2.581659107708249E-3</v>
      </c>
      <c r="I52" s="291">
        <f t="shared" si="63"/>
        <v>2.2972401779103608E-3</v>
      </c>
      <c r="J52" s="291">
        <f t="shared" si="63"/>
        <v>1.9949433532180315E-3</v>
      </c>
      <c r="K52" s="291">
        <f t="shared" si="63"/>
        <v>1.6733221327835364E-3</v>
      </c>
    </row>
    <row r="53" spans="1:11" x14ac:dyDescent="0.15">
      <c r="A53" s="252" t="s">
        <v>50</v>
      </c>
      <c r="B53" s="254"/>
      <c r="C53" s="254"/>
      <c r="D53" s="254">
        <v>750.34</v>
      </c>
      <c r="E53" s="254">
        <v>533.04</v>
      </c>
      <c r="F53" s="254">
        <v>729.86</v>
      </c>
      <c r="G53" s="254">
        <f>G50-G54</f>
        <v>850.96922560000007</v>
      </c>
      <c r="H53" s="254">
        <f t="shared" ref="H53:K53" si="64">H50-H54</f>
        <v>885.00799462400005</v>
      </c>
      <c r="I53" s="254">
        <f t="shared" si="64"/>
        <v>920.40831440896022</v>
      </c>
      <c r="J53" s="254">
        <f t="shared" si="64"/>
        <v>957.22464698531871</v>
      </c>
      <c r="K53" s="254">
        <f t="shared" si="64"/>
        <v>995.51363286473133</v>
      </c>
    </row>
    <row r="54" spans="1:11" x14ac:dyDescent="0.15">
      <c r="A54" s="252" t="s">
        <v>51</v>
      </c>
      <c r="B54" s="253"/>
      <c r="C54" s="253"/>
      <c r="D54" s="253">
        <v>677.59</v>
      </c>
      <c r="E54" s="253">
        <v>1767.32</v>
      </c>
      <c r="F54" s="253">
        <v>1548.09</v>
      </c>
      <c r="G54" s="277">
        <f>G50*G55</f>
        <v>1518.0987743999997</v>
      </c>
      <c r="H54" s="277">
        <f t="shared" ref="H54:K54" si="65">H50*H55</f>
        <v>1578.8227253759999</v>
      </c>
      <c r="I54" s="277">
        <f t="shared" si="65"/>
        <v>1641.9756343910396</v>
      </c>
      <c r="J54" s="277">
        <f t="shared" si="65"/>
        <v>1707.6546597666813</v>
      </c>
      <c r="K54" s="277">
        <f t="shared" si="65"/>
        <v>1775.9608461573489</v>
      </c>
    </row>
    <row r="55" spans="1:11" x14ac:dyDescent="0.15">
      <c r="A55" s="252" t="s">
        <v>52</v>
      </c>
      <c r="B55" s="289"/>
      <c r="C55" s="289"/>
      <c r="D55" s="289">
        <v>0.47449999999999998</v>
      </c>
      <c r="E55" s="289">
        <v>0.76829999999999998</v>
      </c>
      <c r="F55" s="289">
        <v>0.67959999999999998</v>
      </c>
      <c r="G55" s="292">
        <f>(D55+E55+F55)/3</f>
        <v>0.64079999999999993</v>
      </c>
      <c r="H55" s="292">
        <f>G55</f>
        <v>0.64079999999999993</v>
      </c>
      <c r="I55" s="292">
        <f>H55</f>
        <v>0.64079999999999993</v>
      </c>
      <c r="J55" s="292">
        <f>I55</f>
        <v>0.64079999999999993</v>
      </c>
      <c r="K55" s="292">
        <f>J55</f>
        <v>0.64079999999999993</v>
      </c>
    </row>
    <row r="56" spans="1:11" x14ac:dyDescent="0.15">
      <c r="A56" s="252" t="s">
        <v>53</v>
      </c>
      <c r="B56" s="254"/>
      <c r="C56" s="254"/>
      <c r="D56" s="254"/>
      <c r="E56" s="254"/>
      <c r="F56" s="254"/>
      <c r="G56" s="254"/>
      <c r="H56" s="254"/>
      <c r="I56" s="254"/>
      <c r="J56" s="254"/>
      <c r="K56" s="254"/>
    </row>
    <row r="57" spans="1:11" x14ac:dyDescent="0.15">
      <c r="A57" s="252" t="s">
        <v>37</v>
      </c>
      <c r="B57" s="253"/>
      <c r="C57" s="253"/>
      <c r="D57" s="253">
        <v>1.74</v>
      </c>
      <c r="E57" s="253">
        <v>140.91</v>
      </c>
      <c r="F57" s="253">
        <v>120.84</v>
      </c>
      <c r="G57" s="277">
        <f>F57*(G58+1)</f>
        <v>124.46520000000001</v>
      </c>
      <c r="H57" s="277">
        <f t="shared" ref="H57:K57" si="66">G57*(H58+1)</f>
        <v>128.19915600000002</v>
      </c>
      <c r="I57" s="277">
        <f t="shared" si="66"/>
        <v>132.04513068000003</v>
      </c>
      <c r="J57" s="277">
        <f t="shared" si="66"/>
        <v>136.00648460040003</v>
      </c>
      <c r="K57" s="277">
        <f t="shared" si="66"/>
        <v>140.08667913841202</v>
      </c>
    </row>
    <row r="58" spans="1:11" x14ac:dyDescent="0.15">
      <c r="A58" s="252" t="s">
        <v>34</v>
      </c>
      <c r="B58" s="280"/>
      <c r="C58" s="280"/>
      <c r="D58" s="280"/>
      <c r="E58" s="280">
        <f>E57/D57-1</f>
        <v>79.982758620689651</v>
      </c>
      <c r="F58" s="280">
        <f>F57/E57-1</f>
        <v>-0.1424313391526506</v>
      </c>
      <c r="G58" s="281">
        <v>0.03</v>
      </c>
      <c r="H58" s="281">
        <v>0.03</v>
      </c>
      <c r="I58" s="281">
        <v>0.03</v>
      </c>
      <c r="J58" s="281">
        <v>0.03</v>
      </c>
      <c r="K58" s="281">
        <v>0.03</v>
      </c>
    </row>
    <row r="59" spans="1:11" x14ac:dyDescent="0.15">
      <c r="A59" s="252" t="s">
        <v>38</v>
      </c>
      <c r="B59" s="291"/>
      <c r="C59" s="291"/>
      <c r="D59" s="291">
        <f>D57/D2</f>
        <v>3.9342516901793978E-6</v>
      </c>
      <c r="E59" s="291">
        <f t="shared" ref="E59:K59" si="67">E57/E2</f>
        <v>2.537005148512655E-4</v>
      </c>
      <c r="F59" s="291">
        <f t="shared" si="67"/>
        <v>1.7259979657677072E-4</v>
      </c>
      <c r="G59" s="291">
        <f t="shared" si="67"/>
        <v>1.4819027653025749E-4</v>
      </c>
      <c r="H59" s="291">
        <f t="shared" si="67"/>
        <v>1.3433005603887864E-4</v>
      </c>
      <c r="I59" s="291">
        <f t="shared" si="67"/>
        <v>1.1838170452073669E-4</v>
      </c>
      <c r="J59" s="291">
        <f t="shared" si="67"/>
        <v>1.0181520482397171E-4</v>
      </c>
      <c r="K59" s="291">
        <f t="shared" si="67"/>
        <v>8.4579577580365308E-5</v>
      </c>
    </row>
    <row r="60" spans="1:11" x14ac:dyDescent="0.15">
      <c r="A60" s="252" t="s">
        <v>39</v>
      </c>
      <c r="B60" s="254"/>
      <c r="C60" s="254"/>
      <c r="D60" s="254">
        <f>D57-D61</f>
        <v>12.200000000000001</v>
      </c>
      <c r="E60" s="254">
        <f t="shared" ref="E60:G60" si="68">E57-E61</f>
        <v>157.04</v>
      </c>
      <c r="F60" s="254">
        <f t="shared" si="68"/>
        <v>111.07000000000001</v>
      </c>
      <c r="G60" s="254">
        <f t="shared" si="68"/>
        <v>105.689536</v>
      </c>
      <c r="H60" s="254">
        <f t="shared" ref="H60:K60" si="69">H57-H61</f>
        <v>104.37325162000002</v>
      </c>
      <c r="I60" s="254">
        <f t="shared" si="69"/>
        <v>104.86354655500003</v>
      </c>
      <c r="J60" s="254">
        <f t="shared" si="69"/>
        <v>108.00945295165002</v>
      </c>
      <c r="K60" s="254">
        <f t="shared" si="69"/>
        <v>111.24973654019952</v>
      </c>
    </row>
    <row r="61" spans="1:11" x14ac:dyDescent="0.15">
      <c r="A61" s="252" t="s">
        <v>40</v>
      </c>
      <c r="B61" s="253"/>
      <c r="C61" s="253"/>
      <c r="D61" s="253">
        <v>-10.46</v>
      </c>
      <c r="E61" s="253">
        <v>-16.13</v>
      </c>
      <c r="F61" s="253">
        <v>9.77</v>
      </c>
      <c r="G61" s="277">
        <f>G57*G62</f>
        <v>18.775664000000003</v>
      </c>
      <c r="H61" s="277">
        <f t="shared" ref="H61:K61" si="70">H57*H62</f>
        <v>23.825904380000004</v>
      </c>
      <c r="I61" s="277">
        <f t="shared" si="70"/>
        <v>27.181584125000008</v>
      </c>
      <c r="J61" s="277">
        <f t="shared" si="70"/>
        <v>27.997031648750006</v>
      </c>
      <c r="K61" s="277">
        <f t="shared" si="70"/>
        <v>28.836942598212506</v>
      </c>
    </row>
    <row r="62" spans="1:11" x14ac:dyDescent="0.15">
      <c r="A62" s="252" t="s">
        <v>41</v>
      </c>
      <c r="B62" s="289"/>
      <c r="C62" s="289"/>
      <c r="D62" s="289">
        <f>D61/D57</f>
        <v>-6.0114942528735638</v>
      </c>
      <c r="E62" s="289">
        <f t="shared" ref="E62:F62" si="71">E61/E57</f>
        <v>-0.11447022922432758</v>
      </c>
      <c r="F62" s="289">
        <f t="shared" si="71"/>
        <v>8.0850711684872553E-2</v>
      </c>
      <c r="G62" s="292">
        <f>F62+7%</f>
        <v>0.15085071168487257</v>
      </c>
      <c r="H62" s="292">
        <f>G62+3.5%</f>
        <v>0.18585071168487258</v>
      </c>
      <c r="I62" s="292">
        <f>H62+2%</f>
        <v>0.20585071168487257</v>
      </c>
      <c r="J62" s="292">
        <f>I62</f>
        <v>0.20585071168487257</v>
      </c>
      <c r="K62" s="292">
        <f>J62</f>
        <v>0.20585071168487257</v>
      </c>
    </row>
    <row r="63" spans="1:11" hidden="1" x14ac:dyDescent="0.15">
      <c r="A63" s="252" t="s">
        <v>47</v>
      </c>
      <c r="B63" s="253"/>
      <c r="C63" s="253"/>
      <c r="D63" s="253"/>
      <c r="E63" s="253"/>
      <c r="F63" s="253"/>
      <c r="G63" s="277"/>
      <c r="H63" s="277"/>
      <c r="I63" s="277"/>
      <c r="J63" s="277"/>
      <c r="K63" s="277"/>
    </row>
    <row r="64" spans="1:11" hidden="1" x14ac:dyDescent="0.15">
      <c r="A64" s="252" t="s">
        <v>37</v>
      </c>
      <c r="B64" s="254"/>
      <c r="C64" s="254"/>
      <c r="D64" s="254"/>
      <c r="E64" s="254"/>
      <c r="F64" s="254"/>
      <c r="G64" s="254"/>
      <c r="H64" s="254"/>
      <c r="I64" s="254"/>
      <c r="J64" s="254"/>
      <c r="K64" s="254"/>
    </row>
    <row r="65" spans="1:11" hidden="1" x14ac:dyDescent="0.15">
      <c r="A65" s="252" t="s">
        <v>34</v>
      </c>
      <c r="B65" s="280"/>
      <c r="C65" s="280"/>
      <c r="D65" s="280"/>
      <c r="E65" s="280"/>
      <c r="F65" s="280"/>
      <c r="G65" s="281">
        <v>0.06</v>
      </c>
      <c r="H65" s="281">
        <v>0.06</v>
      </c>
      <c r="I65" s="281">
        <v>0.06</v>
      </c>
      <c r="J65" s="281">
        <v>0.06</v>
      </c>
      <c r="K65" s="281">
        <v>0.06</v>
      </c>
    </row>
    <row r="66" spans="1:11" hidden="1" x14ac:dyDescent="0.15">
      <c r="A66" s="252" t="s">
        <v>39</v>
      </c>
      <c r="B66" s="253"/>
      <c r="C66" s="253"/>
      <c r="D66" s="253"/>
      <c r="E66" s="253"/>
      <c r="F66" s="253"/>
      <c r="G66" s="253">
        <f>G64-G67</f>
        <v>0</v>
      </c>
      <c r="H66" s="253">
        <f t="shared" ref="H66:K66" si="72">H64-H67</f>
        <v>0</v>
      </c>
      <c r="I66" s="253">
        <f t="shared" si="72"/>
        <v>0</v>
      </c>
      <c r="J66" s="253">
        <f t="shared" si="72"/>
        <v>0</v>
      </c>
      <c r="K66" s="253">
        <f t="shared" si="72"/>
        <v>0</v>
      </c>
    </row>
    <row r="67" spans="1:11" hidden="1" x14ac:dyDescent="0.15">
      <c r="A67" s="252" t="s">
        <v>40</v>
      </c>
      <c r="B67" s="254"/>
      <c r="C67" s="254"/>
      <c r="D67" s="254"/>
      <c r="E67" s="254"/>
      <c r="F67" s="254"/>
      <c r="G67" s="293">
        <f>G64*G68/100</f>
        <v>0</v>
      </c>
      <c r="H67" s="293">
        <f t="shared" ref="H67:K67" si="73">H64*H68/100</f>
        <v>0</v>
      </c>
      <c r="I67" s="293">
        <f t="shared" si="73"/>
        <v>0</v>
      </c>
      <c r="J67" s="293">
        <f t="shared" si="73"/>
        <v>0</v>
      </c>
      <c r="K67" s="293">
        <f t="shared" si="73"/>
        <v>0</v>
      </c>
    </row>
    <row r="68" spans="1:11" hidden="1" x14ac:dyDescent="0.15">
      <c r="A68" s="252" t="s">
        <v>41</v>
      </c>
      <c r="B68" s="253"/>
      <c r="C68" s="253"/>
      <c r="D68" s="253"/>
      <c r="E68" s="253"/>
      <c r="F68" s="253"/>
      <c r="G68" s="278">
        <v>48.5</v>
      </c>
      <c r="H68" s="278">
        <f t="shared" ref="H68:K68" si="74">G68+0.2</f>
        <v>48.7</v>
      </c>
      <c r="I68" s="278">
        <f t="shared" si="74"/>
        <v>48.900000000000006</v>
      </c>
      <c r="J68" s="278">
        <f t="shared" si="74"/>
        <v>49.100000000000009</v>
      </c>
      <c r="K68" s="278">
        <f t="shared" si="74"/>
        <v>49.300000000000011</v>
      </c>
    </row>
    <row r="69" spans="1:11" hidden="1" x14ac:dyDescent="0.15">
      <c r="A69" s="252" t="s">
        <v>54</v>
      </c>
      <c r="B69" s="254"/>
      <c r="C69" s="254"/>
      <c r="D69" s="254"/>
      <c r="E69" s="254"/>
      <c r="F69" s="254"/>
      <c r="G69" s="254"/>
      <c r="H69" s="254"/>
      <c r="I69" s="254"/>
      <c r="J69" s="254"/>
      <c r="K69" s="254"/>
    </row>
    <row r="70" spans="1:11" hidden="1" x14ac:dyDescent="0.15">
      <c r="A70" s="252" t="s">
        <v>37</v>
      </c>
      <c r="B70" s="253"/>
      <c r="C70" s="253"/>
      <c r="D70" s="253"/>
      <c r="E70" s="253"/>
      <c r="F70" s="253"/>
      <c r="G70" s="277"/>
      <c r="H70" s="277"/>
      <c r="I70" s="277"/>
      <c r="J70" s="277"/>
      <c r="K70" s="277"/>
    </row>
    <row r="71" spans="1:11" hidden="1" x14ac:dyDescent="0.15">
      <c r="A71" s="252" t="s">
        <v>39</v>
      </c>
      <c r="B71" s="254"/>
      <c r="C71" s="254"/>
      <c r="D71" s="254"/>
      <c r="E71" s="254"/>
      <c r="F71" s="254"/>
      <c r="G71" s="254"/>
      <c r="H71" s="254"/>
      <c r="I71" s="254"/>
      <c r="J71" s="254"/>
      <c r="K71" s="254"/>
    </row>
    <row r="72" spans="1:11" hidden="1" x14ac:dyDescent="0.15">
      <c r="A72" s="252" t="s">
        <v>40</v>
      </c>
      <c r="B72" s="253"/>
      <c r="C72" s="253"/>
      <c r="D72" s="253"/>
      <c r="E72" s="253"/>
      <c r="F72" s="253"/>
      <c r="G72" s="277"/>
      <c r="H72" s="277"/>
      <c r="I72" s="277"/>
      <c r="J72" s="277"/>
      <c r="K72" s="277"/>
    </row>
    <row r="73" spans="1:11" hidden="1" x14ac:dyDescent="0.15">
      <c r="A73" s="252" t="s">
        <v>41</v>
      </c>
      <c r="B73" s="254"/>
      <c r="C73" s="254"/>
      <c r="D73" s="254"/>
      <c r="E73" s="254"/>
      <c r="F73" s="254"/>
      <c r="G73" s="254"/>
      <c r="H73" s="254"/>
      <c r="I73" s="254"/>
      <c r="J73" s="254"/>
      <c r="K73" s="254"/>
    </row>
    <row r="74" spans="1:11" x14ac:dyDescent="0.15">
      <c r="A74" s="283" t="s">
        <v>55</v>
      </c>
      <c r="B74" s="254"/>
      <c r="C74" s="254"/>
      <c r="D74" s="254"/>
      <c r="E74" s="254"/>
      <c r="F74" s="254"/>
      <c r="G74" s="254"/>
      <c r="H74" s="254"/>
      <c r="I74" s="254"/>
      <c r="J74" s="254"/>
      <c r="K74" s="254"/>
    </row>
    <row r="75" spans="1:11" x14ac:dyDescent="0.15">
      <c r="A75" s="252" t="s">
        <v>56</v>
      </c>
      <c r="B75" s="253"/>
      <c r="C75" s="253"/>
      <c r="D75" s="253"/>
      <c r="E75" s="253"/>
      <c r="F75" s="253"/>
      <c r="G75" s="277"/>
      <c r="H75" s="277"/>
      <c r="I75" s="277"/>
      <c r="J75" s="277"/>
      <c r="K75" s="277"/>
    </row>
    <row r="76" spans="1:11" x14ac:dyDescent="0.15">
      <c r="A76" s="252" t="s">
        <v>37</v>
      </c>
      <c r="B76" s="254"/>
      <c r="C76" s="254"/>
      <c r="D76" s="254">
        <f>D80/D81</f>
        <v>426812.33787828399</v>
      </c>
      <c r="E76" s="254">
        <f t="shared" ref="E76:F76" si="75">E80/E81</f>
        <v>528130.86115992977</v>
      </c>
      <c r="F76" s="254">
        <f t="shared" si="75"/>
        <v>622654.57516339875</v>
      </c>
      <c r="G76" s="254"/>
      <c r="H76" s="254"/>
      <c r="I76" s="254"/>
      <c r="J76" s="254"/>
      <c r="K76" s="254"/>
    </row>
    <row r="77" spans="1:11" x14ac:dyDescent="0.15">
      <c r="A77" s="252" t="s">
        <v>34</v>
      </c>
      <c r="B77" s="280"/>
      <c r="C77" s="280"/>
      <c r="D77" s="280"/>
      <c r="E77" s="280">
        <f>E76/D76-1</f>
        <v>0.23738424194883345</v>
      </c>
      <c r="F77" s="280">
        <f>F76/E76-1</f>
        <v>0.17897782719204725</v>
      </c>
      <c r="G77" s="254"/>
      <c r="H77" s="254"/>
      <c r="I77" s="254"/>
      <c r="J77" s="254"/>
      <c r="K77" s="254"/>
    </row>
    <row r="78" spans="1:11" x14ac:dyDescent="0.15">
      <c r="A78" s="252" t="s">
        <v>38</v>
      </c>
      <c r="B78" s="280"/>
      <c r="C78" s="280"/>
      <c r="D78" s="280">
        <v>0.96819999999999995</v>
      </c>
      <c r="E78" s="280">
        <v>0.95469999999999999</v>
      </c>
      <c r="F78" s="280">
        <v>0.89239999999999997</v>
      </c>
      <c r="G78" s="254"/>
      <c r="H78" s="254"/>
      <c r="I78" s="254"/>
      <c r="J78" s="254"/>
      <c r="K78" s="254"/>
    </row>
    <row r="79" spans="1:11" x14ac:dyDescent="0.15">
      <c r="A79" s="252" t="s">
        <v>39</v>
      </c>
      <c r="B79" s="253"/>
      <c r="C79" s="253"/>
      <c r="D79" s="253">
        <f>D76-D80</f>
        <v>298469.86787828396</v>
      </c>
      <c r="E79" s="253">
        <f t="shared" ref="E79:F79" si="76">E76-E80</f>
        <v>377877.63115992979</v>
      </c>
      <c r="F79" s="253">
        <f t="shared" si="76"/>
        <v>451175.50516339875</v>
      </c>
      <c r="G79" s="277"/>
      <c r="H79" s="277"/>
      <c r="I79" s="277"/>
      <c r="J79" s="277"/>
      <c r="K79" s="277"/>
    </row>
    <row r="80" spans="1:11" x14ac:dyDescent="0.15">
      <c r="A80" s="252" t="s">
        <v>40</v>
      </c>
      <c r="B80" s="254"/>
      <c r="C80" s="254"/>
      <c r="D80" s="254">
        <v>128342.47</v>
      </c>
      <c r="E80" s="254">
        <v>150253.23000000001</v>
      </c>
      <c r="F80" s="254">
        <v>171479.07</v>
      </c>
      <c r="G80" s="254"/>
      <c r="H80" s="254"/>
      <c r="I80" s="254"/>
      <c r="J80" s="254"/>
      <c r="K80" s="254"/>
    </row>
    <row r="81" spans="1:11" x14ac:dyDescent="0.15">
      <c r="A81" s="252" t="s">
        <v>41</v>
      </c>
      <c r="B81" s="288"/>
      <c r="C81" s="288"/>
      <c r="D81" s="288">
        <v>0.30070000000000002</v>
      </c>
      <c r="E81" s="288">
        <v>0.28449999999999998</v>
      </c>
      <c r="F81" s="288">
        <v>0.27539999999999998</v>
      </c>
      <c r="G81" s="277"/>
      <c r="H81" s="277"/>
      <c r="I81" s="277"/>
      <c r="J81" s="277"/>
      <c r="K81" s="277"/>
    </row>
    <row r="82" spans="1:11" x14ac:dyDescent="0.15">
      <c r="A82" s="252" t="s">
        <v>57</v>
      </c>
      <c r="B82" s="254"/>
      <c r="C82" s="254"/>
      <c r="D82" s="254"/>
      <c r="E82" s="254"/>
      <c r="F82" s="254"/>
      <c r="G82" s="254"/>
      <c r="H82" s="254"/>
      <c r="I82" s="254"/>
      <c r="J82" s="254"/>
      <c r="K82" s="254"/>
    </row>
    <row r="83" spans="1:11" x14ac:dyDescent="0.15">
      <c r="A83" s="252" t="s">
        <v>37</v>
      </c>
      <c r="B83" s="253"/>
      <c r="C83" s="253"/>
      <c r="D83" s="253">
        <f>D87/D88</f>
        <v>14063.382032949952</v>
      </c>
      <c r="E83" s="253">
        <f t="shared" ref="E83:F83" si="77">E87/E88</f>
        <v>25061.822947000583</v>
      </c>
      <c r="F83" s="253">
        <f t="shared" si="77"/>
        <v>75087.682038834959</v>
      </c>
      <c r="G83" s="277"/>
      <c r="H83" s="277"/>
      <c r="I83" s="277"/>
      <c r="J83" s="277"/>
      <c r="K83" s="277"/>
    </row>
    <row r="84" spans="1:11" x14ac:dyDescent="0.15">
      <c r="A84" s="252" t="s">
        <v>34</v>
      </c>
      <c r="B84" s="280"/>
      <c r="C84" s="280"/>
      <c r="D84" s="280"/>
      <c r="E84" s="280">
        <f>E83/D83-1</f>
        <v>0.78206230110806318</v>
      </c>
      <c r="F84" s="280">
        <f>F83/E83-1</f>
        <v>1.9960981768016803</v>
      </c>
      <c r="G84" s="254"/>
      <c r="H84" s="254"/>
      <c r="I84" s="254"/>
      <c r="J84" s="254"/>
      <c r="K84" s="254"/>
    </row>
    <row r="85" spans="1:11" x14ac:dyDescent="0.15">
      <c r="A85" s="252" t="s">
        <v>38</v>
      </c>
      <c r="B85" s="280"/>
      <c r="C85" s="280"/>
      <c r="D85" s="280">
        <v>3.1800000000000002E-2</v>
      </c>
      <c r="E85" s="280">
        <v>4.53E-2</v>
      </c>
      <c r="F85" s="280">
        <v>0.1076</v>
      </c>
      <c r="G85" s="254"/>
      <c r="H85" s="254"/>
      <c r="I85" s="254"/>
      <c r="J85" s="254"/>
      <c r="K85" s="254"/>
    </row>
    <row r="86" spans="1:11" x14ac:dyDescent="0.15">
      <c r="A86" s="252" t="s">
        <v>39</v>
      </c>
      <c r="B86" s="254"/>
      <c r="C86" s="254"/>
      <c r="D86" s="254">
        <f>D83-D87</f>
        <v>9539.1920329499517</v>
      </c>
      <c r="E86" s="254">
        <f t="shared" ref="E86:F86" si="78">E83-E87</f>
        <v>16455.592947000583</v>
      </c>
      <c r="F86" s="254">
        <f t="shared" si="78"/>
        <v>50338.782038834957</v>
      </c>
      <c r="G86" s="254"/>
      <c r="H86" s="254"/>
      <c r="I86" s="254"/>
      <c r="J86" s="254"/>
      <c r="K86" s="254"/>
    </row>
    <row r="87" spans="1:11" x14ac:dyDescent="0.15">
      <c r="A87" s="252" t="s">
        <v>40</v>
      </c>
      <c r="B87" s="253"/>
      <c r="C87" s="253"/>
      <c r="D87" s="253">
        <v>4524.1899999999996</v>
      </c>
      <c r="E87" s="253">
        <v>8606.23</v>
      </c>
      <c r="F87" s="253">
        <v>24748.9</v>
      </c>
      <c r="G87" s="277"/>
      <c r="H87" s="277"/>
      <c r="I87" s="277"/>
      <c r="J87" s="277"/>
      <c r="K87" s="277"/>
    </row>
    <row r="88" spans="1:11" x14ac:dyDescent="0.15">
      <c r="A88" s="252" t="s">
        <v>41</v>
      </c>
      <c r="B88" s="289"/>
      <c r="C88" s="289"/>
      <c r="D88" s="289">
        <v>0.32169999999999999</v>
      </c>
      <c r="E88" s="289">
        <v>0.34339999999999998</v>
      </c>
      <c r="F88" s="289">
        <v>0.3296</v>
      </c>
      <c r="G88" s="254"/>
      <c r="H88" s="254"/>
      <c r="I88" s="254"/>
      <c r="J88" s="254"/>
      <c r="K88" s="254"/>
    </row>
    <row r="89" spans="1:11" x14ac:dyDescent="0.15">
      <c r="A89" s="252" t="s">
        <v>58</v>
      </c>
      <c r="B89" s="253"/>
      <c r="C89" s="253"/>
      <c r="D89" s="253"/>
      <c r="E89" s="253"/>
      <c r="F89" s="253"/>
      <c r="G89" s="277"/>
      <c r="H89" s="277"/>
      <c r="I89" s="277"/>
      <c r="J89" s="277"/>
      <c r="K89" s="277"/>
    </row>
    <row r="90" spans="1:11" x14ac:dyDescent="0.15">
      <c r="A90" s="252" t="s">
        <v>59</v>
      </c>
    </row>
    <row r="91" spans="1:11" x14ac:dyDescent="0.15">
      <c r="A91" s="252" t="s">
        <v>37</v>
      </c>
      <c r="B91" s="253"/>
      <c r="C91" s="253"/>
      <c r="D91" s="253"/>
      <c r="E91" s="253">
        <v>7400</v>
      </c>
      <c r="F91" s="253">
        <v>26400</v>
      </c>
      <c r="G91" s="253"/>
      <c r="H91" s="253"/>
      <c r="I91" s="253"/>
      <c r="J91" s="253"/>
      <c r="K91" s="253"/>
    </row>
    <row r="92" spans="1:11" x14ac:dyDescent="0.15">
      <c r="A92" s="252" t="s">
        <v>34</v>
      </c>
      <c r="B92" s="289"/>
      <c r="C92" s="289"/>
      <c r="D92" s="289"/>
      <c r="E92" s="289"/>
      <c r="F92" s="289"/>
      <c r="G92" s="254"/>
      <c r="H92" s="254"/>
      <c r="I92" s="254"/>
      <c r="J92" s="254"/>
      <c r="K92" s="254"/>
    </row>
    <row r="93" spans="1:11" x14ac:dyDescent="0.15">
      <c r="A93" s="252" t="s">
        <v>60</v>
      </c>
      <c r="B93" s="253"/>
      <c r="C93" s="253"/>
      <c r="D93" s="253"/>
      <c r="E93" s="284">
        <v>28</v>
      </c>
      <c r="F93" s="284">
        <v>53</v>
      </c>
      <c r="G93" s="277"/>
      <c r="H93" s="277"/>
      <c r="I93" s="277"/>
      <c r="J93" s="277"/>
      <c r="K93" s="277"/>
    </row>
    <row r="94" spans="1:11" x14ac:dyDescent="0.15">
      <c r="A94" s="252" t="s">
        <v>61</v>
      </c>
      <c r="B94" s="277"/>
      <c r="C94" s="277"/>
      <c r="D94" s="277"/>
      <c r="E94" s="285">
        <v>26</v>
      </c>
      <c r="F94" s="285">
        <v>25</v>
      </c>
      <c r="G94" s="277"/>
      <c r="H94" s="277"/>
      <c r="I94" s="277"/>
      <c r="J94" s="277"/>
      <c r="K94" s="277"/>
    </row>
    <row r="95" spans="1:11" x14ac:dyDescent="0.15">
      <c r="A95" s="252" t="s">
        <v>62</v>
      </c>
      <c r="E95" s="253">
        <v>595</v>
      </c>
      <c r="F95" s="253">
        <v>694</v>
      </c>
    </row>
    <row r="96" spans="1:11" x14ac:dyDescent="0.15">
      <c r="A96" s="252" t="s">
        <v>63</v>
      </c>
      <c r="B96" s="253"/>
      <c r="C96" s="253"/>
      <c r="D96" s="253"/>
      <c r="E96" s="253">
        <f>E91/E93</f>
        <v>264.28571428571428</v>
      </c>
      <c r="F96" s="253">
        <f>F91/F93</f>
        <v>498.11320754716979</v>
      </c>
      <c r="G96" s="253"/>
      <c r="H96" s="253"/>
      <c r="I96" s="253"/>
      <c r="J96" s="253"/>
      <c r="K96" s="253"/>
    </row>
    <row r="97" spans="1:11" x14ac:dyDescent="0.15">
      <c r="A97" s="252" t="s">
        <v>41</v>
      </c>
      <c r="E97" s="294">
        <v>0.34</v>
      </c>
      <c r="F97" s="294">
        <v>0.39</v>
      </c>
    </row>
    <row r="98" spans="1:11" x14ac:dyDescent="0.15">
      <c r="A98" s="252" t="s">
        <v>64</v>
      </c>
      <c r="B98" s="253"/>
      <c r="C98" s="253"/>
      <c r="D98" s="253"/>
      <c r="E98" s="253"/>
      <c r="F98" s="253"/>
      <c r="G98" s="253"/>
      <c r="H98" s="253"/>
      <c r="I98" s="253"/>
      <c r="J98" s="253"/>
      <c r="K98" s="253"/>
    </row>
    <row r="99" spans="1:11" x14ac:dyDescent="0.15">
      <c r="A99" s="252" t="s">
        <v>37</v>
      </c>
      <c r="F99" s="253">
        <v>300</v>
      </c>
    </row>
    <row r="100" spans="1:11" x14ac:dyDescent="0.15">
      <c r="A100" s="252" t="s">
        <v>34</v>
      </c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</row>
    <row r="101" spans="1:11" x14ac:dyDescent="0.15">
      <c r="A101" s="252" t="s">
        <v>60</v>
      </c>
      <c r="F101" s="285">
        <v>11</v>
      </c>
    </row>
    <row r="102" spans="1:11" x14ac:dyDescent="0.15">
      <c r="A102" s="252" t="s">
        <v>61</v>
      </c>
      <c r="B102" s="253"/>
      <c r="C102" s="253"/>
      <c r="D102" s="253"/>
      <c r="E102" s="253"/>
      <c r="F102" s="284">
        <v>11</v>
      </c>
      <c r="G102" s="253"/>
      <c r="H102" s="253"/>
      <c r="I102" s="253"/>
      <c r="J102" s="253"/>
      <c r="K102" s="253"/>
    </row>
    <row r="103" spans="1:11" x14ac:dyDescent="0.15">
      <c r="A103" s="252" t="s">
        <v>62</v>
      </c>
      <c r="F103" s="285">
        <v>188</v>
      </c>
    </row>
    <row r="104" spans="1:11" x14ac:dyDescent="0.15">
      <c r="A104" s="252" t="s">
        <v>63</v>
      </c>
      <c r="F104" s="285">
        <v>30.58</v>
      </c>
    </row>
    <row r="105" spans="1:11" x14ac:dyDescent="0.15">
      <c r="A105" s="252" t="s">
        <v>41</v>
      </c>
      <c r="B105" s="253"/>
      <c r="C105" s="253"/>
      <c r="D105" s="253"/>
      <c r="E105" s="253"/>
      <c r="F105" s="295">
        <v>0.17</v>
      </c>
      <c r="G105" s="253"/>
      <c r="H105" s="253"/>
      <c r="I105" s="253"/>
      <c r="J105" s="253"/>
      <c r="K105" s="253"/>
    </row>
    <row r="106" spans="1:11" x14ac:dyDescent="0.15">
      <c r="A106" s="252" t="s">
        <v>65</v>
      </c>
    </row>
    <row r="107" spans="1:11" x14ac:dyDescent="0.15">
      <c r="A107" s="252" t="s">
        <v>37</v>
      </c>
      <c r="B107" s="253"/>
      <c r="C107" s="253"/>
      <c r="D107" s="253"/>
      <c r="E107" s="253"/>
      <c r="F107" s="253">
        <v>15000</v>
      </c>
      <c r="G107" s="253"/>
      <c r="H107" s="253"/>
      <c r="I107" s="253"/>
      <c r="J107" s="253"/>
      <c r="K107" s="253"/>
    </row>
    <row r="108" spans="1:11" x14ac:dyDescent="0.15">
      <c r="A108" s="252" t="s">
        <v>34</v>
      </c>
    </row>
    <row r="109" spans="1:11" x14ac:dyDescent="0.15">
      <c r="A109" s="252" t="s">
        <v>41</v>
      </c>
      <c r="B109" s="253"/>
      <c r="C109" s="253"/>
      <c r="D109" s="253"/>
      <c r="E109" s="253"/>
      <c r="F109" s="288">
        <v>0.32</v>
      </c>
      <c r="G109" s="253"/>
      <c r="H109" s="253"/>
      <c r="I109" s="253"/>
      <c r="J109" s="253"/>
      <c r="K109" s="253"/>
    </row>
    <row r="110" spans="1:11" x14ac:dyDescent="0.15">
      <c r="A110" s="252" t="s">
        <v>66</v>
      </c>
    </row>
    <row r="111" spans="1:11" x14ac:dyDescent="0.15">
      <c r="A111" s="252" t="s">
        <v>37</v>
      </c>
      <c r="B111" s="253"/>
      <c r="C111" s="253"/>
      <c r="D111" s="253"/>
      <c r="E111" s="253">
        <f>E83-E91</f>
        <v>17661.822947000583</v>
      </c>
      <c r="F111" s="253">
        <v>32600</v>
      </c>
      <c r="G111" s="253"/>
      <c r="H111" s="253"/>
      <c r="I111" s="253"/>
      <c r="J111" s="253"/>
      <c r="K111" s="253"/>
    </row>
    <row r="112" spans="1:11" x14ac:dyDescent="0.15">
      <c r="A112" s="252" t="s">
        <v>34</v>
      </c>
    </row>
    <row r="113" spans="1:11" x14ac:dyDescent="0.15">
      <c r="A113" s="252" t="s">
        <v>41</v>
      </c>
      <c r="B113" s="253"/>
      <c r="C113" s="253"/>
      <c r="D113" s="253"/>
      <c r="E113" s="253"/>
      <c r="F113" s="295">
        <v>0.28999999999999998</v>
      </c>
      <c r="G113" s="253"/>
      <c r="H113" s="253"/>
      <c r="I113" s="253"/>
      <c r="J113" s="253"/>
      <c r="K113" s="253"/>
    </row>
    <row r="114" spans="1:11" hidden="1" x14ac:dyDescent="0.15">
      <c r="A114" s="252" t="s">
        <v>67</v>
      </c>
      <c r="B114" s="253"/>
      <c r="C114" s="253"/>
      <c r="D114" s="253"/>
      <c r="E114" s="253"/>
      <c r="F114" s="253"/>
      <c r="G114" s="277"/>
      <c r="H114" s="277"/>
      <c r="I114" s="277"/>
      <c r="J114" s="277"/>
      <c r="K114" s="277"/>
    </row>
    <row r="115" spans="1:11" hidden="1" x14ac:dyDescent="0.15">
      <c r="A115" s="252" t="s">
        <v>37</v>
      </c>
      <c r="B115" s="254"/>
      <c r="C115" s="254"/>
      <c r="D115" s="254"/>
      <c r="E115" s="254"/>
      <c r="F115" s="254"/>
      <c r="G115" s="254"/>
      <c r="H115" s="254"/>
      <c r="I115" s="254"/>
      <c r="J115" s="254"/>
      <c r="K115" s="254"/>
    </row>
    <row r="116" spans="1:11" hidden="1" x14ac:dyDescent="0.15">
      <c r="A116" s="252" t="s">
        <v>39</v>
      </c>
      <c r="B116" s="253"/>
      <c r="C116" s="253"/>
      <c r="D116" s="253"/>
      <c r="E116" s="253"/>
      <c r="F116" s="253"/>
      <c r="G116" s="277"/>
      <c r="H116" s="277"/>
      <c r="I116" s="277"/>
      <c r="J116" s="277"/>
      <c r="K116" s="277"/>
    </row>
    <row r="117" spans="1:11" hidden="1" x14ac:dyDescent="0.15">
      <c r="A117" s="252" t="s">
        <v>40</v>
      </c>
      <c r="B117" s="254"/>
      <c r="C117" s="254"/>
      <c r="D117" s="254"/>
      <c r="E117" s="254"/>
      <c r="F117" s="254"/>
      <c r="G117" s="254"/>
      <c r="H117" s="254"/>
      <c r="I117" s="254"/>
      <c r="J117" s="254"/>
      <c r="K117" s="254"/>
    </row>
    <row r="118" spans="1:11" hidden="1" x14ac:dyDescent="0.15">
      <c r="A118" s="252" t="s">
        <v>41</v>
      </c>
      <c r="B118" s="253"/>
      <c r="C118" s="253"/>
      <c r="D118" s="253"/>
      <c r="E118" s="253"/>
      <c r="F118" s="253"/>
      <c r="G118" s="277"/>
      <c r="H118" s="277"/>
      <c r="I118" s="277"/>
      <c r="J118" s="277"/>
      <c r="K118" s="277"/>
    </row>
    <row r="120" spans="1:11" x14ac:dyDescent="0.15">
      <c r="A120" s="282" t="s">
        <v>68</v>
      </c>
    </row>
    <row r="121" spans="1:11" x14ac:dyDescent="0.15">
      <c r="A121" s="252" t="s">
        <v>36</v>
      </c>
      <c r="B121" s="280">
        <f t="shared" ref="B121:K121" si="79">B10</f>
        <v>0.87817033428894109</v>
      </c>
      <c r="C121" s="280">
        <f t="shared" si="79"/>
        <v>0.80291141433789082</v>
      </c>
      <c r="D121" s="280">
        <f t="shared" si="79"/>
        <v>0.6960098457587931</v>
      </c>
      <c r="E121" s="280">
        <f t="shared" si="79"/>
        <v>0.63113691570967378</v>
      </c>
      <c r="F121" s="280">
        <f t="shared" si="79"/>
        <v>0.52795435389557199</v>
      </c>
      <c r="G121" s="280">
        <f t="shared" si="79"/>
        <v>0.47284807183305683</v>
      </c>
      <c r="H121" s="280">
        <f t="shared" si="79"/>
        <v>0.45543950724587451</v>
      </c>
      <c r="I121" s="280">
        <f t="shared" si="79"/>
        <v>0.44596288741820833</v>
      </c>
      <c r="J121" s="280">
        <f t="shared" si="79"/>
        <v>0.44478964665934528</v>
      </c>
      <c r="K121" s="280">
        <f t="shared" si="79"/>
        <v>0.44642143021020381</v>
      </c>
    </row>
    <row r="122" spans="1:11" x14ac:dyDescent="0.15">
      <c r="A122" s="252" t="s">
        <v>42</v>
      </c>
      <c r="B122" s="280">
        <f>B17</f>
        <v>9.221364784487417E-3</v>
      </c>
      <c r="C122" s="280">
        <f t="shared" ref="C122:K122" si="80">C17</f>
        <v>8.566201123607603E-2</v>
      </c>
      <c r="D122" s="280">
        <f t="shared" si="80"/>
        <v>0.19537154733802425</v>
      </c>
      <c r="E122" s="280">
        <f t="shared" si="80"/>
        <v>0.2535994379447028</v>
      </c>
      <c r="F122" s="280">
        <f t="shared" si="80"/>
        <v>0.35688014583854377</v>
      </c>
      <c r="G122" s="280">
        <f t="shared" si="80"/>
        <v>0.40870803869947719</v>
      </c>
      <c r="H122" s="280">
        <f t="shared" si="80"/>
        <v>0.42223370285753764</v>
      </c>
      <c r="I122" s="280">
        <f t="shared" si="80"/>
        <v>0.4349206415573707</v>
      </c>
      <c r="J122" s="280">
        <f t="shared" si="80"/>
        <v>0.44446692014336081</v>
      </c>
      <c r="K122" s="280">
        <f t="shared" si="80"/>
        <v>0.45664991422662177</v>
      </c>
    </row>
    <row r="123" spans="1:11" x14ac:dyDescent="0.15">
      <c r="A123" s="252" t="s">
        <v>69</v>
      </c>
      <c r="B123" s="280">
        <f>B24</f>
        <v>8.4675945541712594E-2</v>
      </c>
      <c r="C123" s="280">
        <f t="shared" ref="C123:K123" si="81">C24</f>
        <v>5.2763009639452935E-2</v>
      </c>
      <c r="D123" s="280">
        <f t="shared" si="81"/>
        <v>2.6648585991504461E-2</v>
      </c>
      <c r="E123" s="280">
        <f t="shared" si="81"/>
        <v>2.0398918538314863E-2</v>
      </c>
      <c r="F123" s="280">
        <f t="shared" si="81"/>
        <v>1.4012806722079335E-2</v>
      </c>
      <c r="G123" s="280">
        <f t="shared" si="81"/>
        <v>1.1165546802461471E-2</v>
      </c>
      <c r="H123" s="280">
        <f t="shared" si="81"/>
        <v>9.8844214850534531E-3</v>
      </c>
      <c r="I123" s="280">
        <f t="shared" si="81"/>
        <v>8.7185075525088931E-3</v>
      </c>
      <c r="J123" s="280">
        <f t="shared" si="81"/>
        <v>7.686983405366157E-3</v>
      </c>
      <c r="K123" s="280">
        <f t="shared" si="81"/>
        <v>6.5462797569252251E-3</v>
      </c>
    </row>
    <row r="124" spans="1:11" x14ac:dyDescent="0.15">
      <c r="A124" s="252" t="s">
        <v>44</v>
      </c>
      <c r="B124" s="280">
        <f>B31</f>
        <v>2.9980333653984591E-3</v>
      </c>
      <c r="C124" s="280">
        <f t="shared" ref="C124:K124" si="82">C31</f>
        <v>4.5408068869177733E-2</v>
      </c>
      <c r="D124" s="280">
        <f t="shared" si="82"/>
        <v>6.6289699030197907E-2</v>
      </c>
      <c r="E124" s="280">
        <f t="shared" si="82"/>
        <v>7.4732599009187037E-2</v>
      </c>
      <c r="F124" s="280">
        <f t="shared" si="82"/>
        <v>7.0382037737422923E-2</v>
      </c>
      <c r="G124" s="280">
        <f t="shared" si="82"/>
        <v>6.8474169428620987E-2</v>
      </c>
      <c r="H124" s="280">
        <f t="shared" si="82"/>
        <v>6.9128834449592322E-2</v>
      </c>
      <c r="I124" s="280">
        <f t="shared" si="82"/>
        <v>6.6667018990537785E-2</v>
      </c>
      <c r="J124" s="280">
        <f t="shared" si="82"/>
        <v>6.1631703312474459E-2</v>
      </c>
      <c r="K124" s="280">
        <f t="shared" si="82"/>
        <v>5.4038720353281784E-2</v>
      </c>
    </row>
    <row r="125" spans="1:11" x14ac:dyDescent="0.15">
      <c r="A125" s="252" t="s">
        <v>45</v>
      </c>
      <c r="B125" s="280">
        <f>D38</f>
        <v>6.8227838032374919E-3</v>
      </c>
      <c r="C125" s="280">
        <f t="shared" ref="C125:K125" si="83">E38</f>
        <v>2.206101609909901E-3</v>
      </c>
      <c r="D125" s="280">
        <f t="shared" si="83"/>
        <v>6.0662743796855584E-4</v>
      </c>
      <c r="E125" s="280">
        <f t="shared" si="83"/>
        <v>3.7753791488607738E-4</v>
      </c>
      <c r="F125" s="280">
        <f t="shared" si="83"/>
        <v>3.1452118881888187E-4</v>
      </c>
      <c r="G125" s="280">
        <f t="shared" si="83"/>
        <v>2.6910643118007734E-4</v>
      </c>
      <c r="H125" s="280">
        <f t="shared" si="83"/>
        <v>2.2470612084596502E-4</v>
      </c>
      <c r="I125" s="280">
        <f t="shared" si="83"/>
        <v>1.8123019189075478E-4</v>
      </c>
      <c r="J125" s="280">
        <f t="shared" si="83"/>
        <v>0</v>
      </c>
      <c r="K125" s="280">
        <f t="shared" si="83"/>
        <v>0</v>
      </c>
    </row>
    <row r="126" spans="1:11" x14ac:dyDescent="0.15">
      <c r="A126" s="252" t="s">
        <v>46</v>
      </c>
      <c r="B126" s="280">
        <f>B45</f>
        <v>0</v>
      </c>
      <c r="C126" s="280">
        <f t="shared" ref="C126:K126" si="84">C45</f>
        <v>0</v>
      </c>
      <c r="D126" s="280">
        <f t="shared" si="84"/>
        <v>5.6250076593549426E-3</v>
      </c>
      <c r="E126" s="280">
        <f t="shared" si="84"/>
        <v>1.35306401120913E-2</v>
      </c>
      <c r="F126" s="280">
        <f t="shared" si="84"/>
        <v>2.673778528636726E-2</v>
      </c>
      <c r="G126" s="280">
        <f t="shared" si="84"/>
        <v>3.545779443709466E-2</v>
      </c>
      <c r="H126" s="280">
        <f t="shared" si="84"/>
        <v>4.0283023609376092E-2</v>
      </c>
      <c r="I126" s="280">
        <f t="shared" si="84"/>
        <v>4.104621616776296E-2</v>
      </c>
      <c r="J126" s="280">
        <f t="shared" si="84"/>
        <v>3.910328180056525E-2</v>
      </c>
      <c r="K126" s="280">
        <f t="shared" si="84"/>
        <v>3.4404523550712968E-2</v>
      </c>
    </row>
    <row r="127" spans="1:11" x14ac:dyDescent="0.15">
      <c r="A127" s="252" t="s">
        <v>47</v>
      </c>
      <c r="B127" s="280">
        <f>B52</f>
        <v>4.2791961298586754E-4</v>
      </c>
      <c r="C127" s="280">
        <f t="shared" ref="C127:K127" si="85">C52</f>
        <v>1.8011690296231833E-3</v>
      </c>
      <c r="D127" s="280">
        <f t="shared" si="85"/>
        <v>3.2286413884815334E-3</v>
      </c>
      <c r="E127" s="280">
        <f t="shared" si="85"/>
        <v>4.1416685568324259E-3</v>
      </c>
      <c r="F127" s="280">
        <f t="shared" si="85"/>
        <v>3.2536718521355081E-3</v>
      </c>
      <c r="G127" s="280">
        <f t="shared" si="85"/>
        <v>2.8206506078725939E-3</v>
      </c>
      <c r="H127" s="280">
        <f t="shared" si="85"/>
        <v>2.581659107708249E-3</v>
      </c>
      <c r="I127" s="280">
        <f t="shared" si="85"/>
        <v>2.2972401779103608E-3</v>
      </c>
      <c r="J127" s="280">
        <f t="shared" si="85"/>
        <v>1.9949433532180315E-3</v>
      </c>
      <c r="K127" s="280">
        <f t="shared" si="85"/>
        <v>1.6733221327835364E-3</v>
      </c>
    </row>
    <row r="128" spans="1:11" x14ac:dyDescent="0.15">
      <c r="A128" s="252" t="s">
        <v>53</v>
      </c>
      <c r="B128" s="280">
        <f>B59</f>
        <v>0</v>
      </c>
      <c r="C128" s="280">
        <f t="shared" ref="C128:K128" si="86">C59</f>
        <v>0</v>
      </c>
      <c r="D128" s="280">
        <f t="shared" si="86"/>
        <v>3.9342516901793978E-6</v>
      </c>
      <c r="E128" s="280">
        <f t="shared" si="86"/>
        <v>2.537005148512655E-4</v>
      </c>
      <c r="F128" s="280">
        <f t="shared" si="86"/>
        <v>1.7259979657677072E-4</v>
      </c>
      <c r="G128" s="280">
        <f t="shared" si="86"/>
        <v>1.4819027653025749E-4</v>
      </c>
      <c r="H128" s="280">
        <f t="shared" si="86"/>
        <v>1.3433005603887864E-4</v>
      </c>
      <c r="I128" s="280">
        <f t="shared" si="86"/>
        <v>1.1838170452073669E-4</v>
      </c>
      <c r="J128" s="280">
        <f t="shared" si="86"/>
        <v>1.0181520482397171E-4</v>
      </c>
      <c r="K128" s="280">
        <f t="shared" si="86"/>
        <v>8.4579577580365308E-5</v>
      </c>
    </row>
    <row r="129" spans="1:11" x14ac:dyDescent="0.15">
      <c r="A129" s="252" t="s">
        <v>54</v>
      </c>
      <c r="B129" s="280">
        <v>0</v>
      </c>
      <c r="C129" s="280">
        <v>0</v>
      </c>
      <c r="D129" s="280">
        <v>0</v>
      </c>
      <c r="E129" s="280">
        <v>0</v>
      </c>
      <c r="F129" s="280">
        <v>0</v>
      </c>
      <c r="G129" s="280">
        <v>0</v>
      </c>
      <c r="H129" s="280">
        <v>0</v>
      </c>
      <c r="I129" s="280">
        <v>0</v>
      </c>
      <c r="J129" s="280">
        <v>0</v>
      </c>
      <c r="K129" s="280">
        <v>0</v>
      </c>
    </row>
    <row r="130" spans="1:11" x14ac:dyDescent="0.15">
      <c r="A130" s="296" t="s">
        <v>70</v>
      </c>
      <c r="B130" s="280">
        <f t="shared" ref="B130:K130" si="87">SUM(B121:B129)</f>
        <v>0.98231638139676292</v>
      </c>
      <c r="C130" s="280">
        <f t="shared" si="87"/>
        <v>0.99075177472213038</v>
      </c>
      <c r="D130" s="280">
        <f t="shared" si="87"/>
        <v>0.99378388885601487</v>
      </c>
      <c r="E130" s="280">
        <f t="shared" si="87"/>
        <v>0.99817141830053957</v>
      </c>
      <c r="F130" s="280">
        <f t="shared" si="87"/>
        <v>0.9997079223175166</v>
      </c>
      <c r="G130" s="280">
        <f t="shared" si="87"/>
        <v>0.99989156851629402</v>
      </c>
      <c r="H130" s="280">
        <f t="shared" si="87"/>
        <v>0.9999101849320271</v>
      </c>
      <c r="I130" s="280">
        <f t="shared" si="87"/>
        <v>0.99991212376071048</v>
      </c>
      <c r="J130" s="280">
        <f t="shared" si="87"/>
        <v>0.99977529387915398</v>
      </c>
      <c r="K130" s="280">
        <f t="shared" si="87"/>
        <v>0.99981876980810946</v>
      </c>
    </row>
    <row r="132" spans="1:11" hidden="1" x14ac:dyDescent="0.15">
      <c r="A132" s="282" t="s">
        <v>71</v>
      </c>
      <c r="B132" s="254"/>
      <c r="C132" s="254"/>
      <c r="D132" s="254"/>
      <c r="E132" s="254"/>
      <c r="F132" s="254"/>
    </row>
    <row r="133" spans="1:11" hidden="1" x14ac:dyDescent="0.15">
      <c r="A133" s="282" t="s">
        <v>72</v>
      </c>
      <c r="B133" s="280"/>
      <c r="C133" s="280"/>
      <c r="D133" s="280"/>
      <c r="E133" s="280"/>
      <c r="F133" s="280"/>
    </row>
    <row r="134" spans="1:11" hidden="1" x14ac:dyDescent="0.15">
      <c r="A134" s="282" t="s">
        <v>73</v>
      </c>
      <c r="B134" s="280"/>
      <c r="C134" s="280"/>
      <c r="D134" s="280"/>
      <c r="E134" s="280"/>
      <c r="F134" s="280"/>
    </row>
    <row r="135" spans="1:11" hidden="1" x14ac:dyDescent="0.15">
      <c r="A135" s="282" t="s">
        <v>74</v>
      </c>
      <c r="B135" s="280"/>
      <c r="C135" s="280"/>
      <c r="D135" s="280"/>
      <c r="E135" s="280"/>
      <c r="F135" s="280"/>
    </row>
    <row r="136" spans="1:11" hidden="1" x14ac:dyDescent="0.15">
      <c r="A136" s="282" t="s">
        <v>75</v>
      </c>
      <c r="B136" s="254"/>
      <c r="C136" s="254"/>
      <c r="D136" s="254"/>
      <c r="E136" s="254"/>
      <c r="F136" s="254"/>
    </row>
    <row r="137" spans="1:11" hidden="1" x14ac:dyDescent="0.15">
      <c r="A137" s="282" t="s">
        <v>76</v>
      </c>
      <c r="B137" s="280"/>
      <c r="C137" s="280"/>
      <c r="D137" s="280"/>
      <c r="E137" s="280"/>
      <c r="F137" s="280"/>
    </row>
  </sheetData>
  <phoneticPr fontId="5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5"/>
  <sheetViews>
    <sheetView workbookViewId="0">
      <pane xSplit="1" ySplit="2" topLeftCell="E3" activePane="bottomRight" state="frozen"/>
      <selection pane="topRight"/>
      <selection pane="bottomLeft"/>
      <selection pane="bottomRight" activeCell="M51" sqref="M51"/>
    </sheetView>
  </sheetViews>
  <sheetFormatPr defaultColWidth="8.875" defaultRowHeight="13.5" x14ac:dyDescent="0.15"/>
  <cols>
    <col min="1" max="1" width="46.375" style="247" customWidth="1"/>
    <col min="2" max="11" width="11.625" style="247" customWidth="1"/>
    <col min="12" max="16384" width="8.875" style="247"/>
  </cols>
  <sheetData>
    <row r="1" spans="1:11" x14ac:dyDescent="0.15">
      <c r="A1" s="274" t="s">
        <v>77</v>
      </c>
      <c r="B1" s="249"/>
      <c r="C1" s="249"/>
      <c r="D1" s="249"/>
      <c r="E1" s="249"/>
      <c r="F1" s="249"/>
      <c r="G1" s="275"/>
      <c r="H1" s="275"/>
      <c r="I1" s="275"/>
      <c r="J1" s="275"/>
      <c r="K1" s="275"/>
    </row>
    <row r="2" spans="1:11" x14ac:dyDescent="0.15">
      <c r="A2" s="250"/>
      <c r="B2" s="276" t="s">
        <v>78</v>
      </c>
      <c r="C2" s="251" t="s">
        <v>79</v>
      </c>
      <c r="D2" s="276" t="s">
        <v>80</v>
      </c>
      <c r="E2" s="251" t="s">
        <v>81</v>
      </c>
      <c r="F2" s="276" t="s">
        <v>82</v>
      </c>
      <c r="G2" s="251" t="s">
        <v>28</v>
      </c>
      <c r="H2" s="251" t="s">
        <v>29</v>
      </c>
      <c r="I2" s="251" t="s">
        <v>30</v>
      </c>
      <c r="J2" s="251" t="s">
        <v>31</v>
      </c>
      <c r="K2" s="251" t="s">
        <v>32</v>
      </c>
    </row>
    <row r="3" spans="1:11" hidden="1" x14ac:dyDescent="0.15">
      <c r="A3" s="252" t="s">
        <v>83</v>
      </c>
      <c r="B3" s="253" t="s">
        <v>84</v>
      </c>
      <c r="C3" s="253" t="s">
        <v>84</v>
      </c>
      <c r="D3" s="253" t="s">
        <v>84</v>
      </c>
      <c r="E3" s="253" t="s">
        <v>84</v>
      </c>
      <c r="F3" s="253" t="s">
        <v>84</v>
      </c>
      <c r="G3" s="277"/>
      <c r="H3" s="277"/>
      <c r="I3" s="277"/>
      <c r="J3" s="277"/>
      <c r="K3" s="277"/>
    </row>
    <row r="4" spans="1:11" hidden="1" x14ac:dyDescent="0.15">
      <c r="A4" s="252" t="s">
        <v>85</v>
      </c>
      <c r="B4" s="254" t="s">
        <v>86</v>
      </c>
      <c r="C4" s="254" t="s">
        <v>86</v>
      </c>
      <c r="D4" s="254" t="s">
        <v>86</v>
      </c>
      <c r="E4" s="254" t="s">
        <v>86</v>
      </c>
      <c r="F4" s="254" t="s">
        <v>86</v>
      </c>
      <c r="G4" s="254"/>
      <c r="H4" s="254"/>
      <c r="I4" s="254"/>
      <c r="J4" s="254"/>
      <c r="K4" s="254"/>
    </row>
    <row r="5" spans="1:11" x14ac:dyDescent="0.15">
      <c r="A5" s="252" t="s">
        <v>33</v>
      </c>
      <c r="B5" s="253">
        <v>92447.27</v>
      </c>
      <c r="C5" s="253">
        <v>204306.2</v>
      </c>
      <c r="D5" s="253">
        <v>442269.62</v>
      </c>
      <c r="E5" s="253">
        <v>555418.66</v>
      </c>
      <c r="F5" s="253">
        <v>700116.7</v>
      </c>
      <c r="G5" s="277">
        <f>业务模型!G2</f>
        <v>839901.26015175297</v>
      </c>
      <c r="H5" s="277">
        <f>业务模型!H2</f>
        <v>954359.43213554402</v>
      </c>
      <c r="I5" s="277">
        <f>业务模型!I2</f>
        <v>1115418.3935311553</v>
      </c>
      <c r="J5" s="277">
        <f>业务模型!J2</f>
        <v>1335817.0308211001</v>
      </c>
      <c r="K5" s="277">
        <f>业务模型!K2</f>
        <v>1656270.7351583226</v>
      </c>
    </row>
    <row r="6" spans="1:11" x14ac:dyDescent="0.15">
      <c r="A6" s="252" t="s">
        <v>87</v>
      </c>
      <c r="B6" s="254">
        <v>92447.27</v>
      </c>
      <c r="C6" s="254">
        <v>204306.2</v>
      </c>
      <c r="D6" s="254">
        <v>442269.62</v>
      </c>
      <c r="E6" s="254">
        <v>555418.66</v>
      </c>
      <c r="F6" s="254">
        <v>700116.7</v>
      </c>
      <c r="G6" s="254">
        <f>G5</f>
        <v>839901.26015175297</v>
      </c>
      <c r="H6" s="254">
        <f t="shared" ref="H6:K6" si="0">H5</f>
        <v>954359.43213554402</v>
      </c>
      <c r="I6" s="254">
        <f t="shared" si="0"/>
        <v>1115418.3935311553</v>
      </c>
      <c r="J6" s="254">
        <f t="shared" si="0"/>
        <v>1335817.0308211001</v>
      </c>
      <c r="K6" s="254">
        <f t="shared" si="0"/>
        <v>1656270.7351583226</v>
      </c>
    </row>
    <row r="7" spans="1:11" hidden="1" x14ac:dyDescent="0.15">
      <c r="A7" s="252" t="s">
        <v>88</v>
      </c>
      <c r="B7" s="253"/>
      <c r="C7" s="253"/>
      <c r="D7" s="253"/>
      <c r="E7" s="253"/>
      <c r="F7" s="253"/>
      <c r="G7" s="277"/>
      <c r="H7" s="277"/>
      <c r="I7" s="277"/>
      <c r="J7" s="277"/>
      <c r="K7" s="277"/>
    </row>
    <row r="8" spans="1:11" hidden="1" x14ac:dyDescent="0.15">
      <c r="A8" s="252" t="s">
        <v>89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</row>
    <row r="9" spans="1:11" hidden="1" x14ac:dyDescent="0.15">
      <c r="A9" s="252" t="s">
        <v>90</v>
      </c>
      <c r="B9" s="253"/>
      <c r="C9" s="253"/>
      <c r="D9" s="253"/>
      <c r="E9" s="253"/>
      <c r="F9" s="253"/>
      <c r="G9" s="277"/>
      <c r="H9" s="277"/>
      <c r="I9" s="277"/>
      <c r="J9" s="277"/>
      <c r="K9" s="277"/>
    </row>
    <row r="10" spans="1:11" hidden="1" x14ac:dyDescent="0.15">
      <c r="A10" s="252" t="s">
        <v>91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</row>
    <row r="11" spans="1:11" x14ac:dyDescent="0.15">
      <c r="A11" s="252" t="s">
        <v>92</v>
      </c>
      <c r="B11" s="253">
        <v>95375.94</v>
      </c>
      <c r="C11" s="253">
        <v>203605.55</v>
      </c>
      <c r="D11" s="253">
        <v>413459.87</v>
      </c>
      <c r="E11" s="253">
        <v>517870.96</v>
      </c>
      <c r="F11" s="253">
        <v>666257.04</v>
      </c>
      <c r="G11" s="277">
        <f>G12+G32+G33+G34+G35+G36</f>
        <v>798816.58997014782</v>
      </c>
      <c r="H11" s="277">
        <f t="shared" ref="H11:K11" si="1">H12+H32+H33+H34+H35+H36</f>
        <v>905687.36808073393</v>
      </c>
      <c r="I11" s="277">
        <f t="shared" si="1"/>
        <v>1056195.7417109832</v>
      </c>
      <c r="J11" s="277">
        <f t="shared" si="1"/>
        <v>1263641.5801624481</v>
      </c>
      <c r="K11" s="277">
        <f t="shared" si="1"/>
        <v>1566222.7443372856</v>
      </c>
    </row>
    <row r="12" spans="1:11" x14ac:dyDescent="0.15">
      <c r="A12" s="252" t="s">
        <v>93</v>
      </c>
      <c r="B12" s="254">
        <v>70120.95</v>
      </c>
      <c r="C12" s="254">
        <v>149343.49</v>
      </c>
      <c r="D12" s="254">
        <v>308725.38</v>
      </c>
      <c r="E12" s="254">
        <v>394791.89</v>
      </c>
      <c r="F12" s="254">
        <v>502340.65</v>
      </c>
      <c r="G12" s="254">
        <f>业务模型!G4</f>
        <v>603611.68830701185</v>
      </c>
      <c r="H12" s="254">
        <f>业务模型!H4</f>
        <v>684357.95226002939</v>
      </c>
      <c r="I12" s="254">
        <f>业务模型!I4</f>
        <v>798072.18981988577</v>
      </c>
      <c r="J12" s="254">
        <f>业务模型!J4</f>
        <v>955182.58287116245</v>
      </c>
      <c r="K12" s="254">
        <f>业务模型!K4</f>
        <v>1184594.6013208397</v>
      </c>
    </row>
    <row r="13" spans="1:11" hidden="1" x14ac:dyDescent="0.15">
      <c r="A13" s="252" t="s">
        <v>94</v>
      </c>
      <c r="B13" s="253"/>
      <c r="C13" s="253"/>
      <c r="D13" s="253">
        <v>308725.38</v>
      </c>
      <c r="E13" s="253">
        <v>394791.89</v>
      </c>
      <c r="F13" s="253">
        <v>502340.65</v>
      </c>
      <c r="G13" s="277">
        <f>G12</f>
        <v>603611.68830701185</v>
      </c>
      <c r="H13" s="277">
        <f t="shared" ref="H13:K13" si="2">H12</f>
        <v>684357.95226002939</v>
      </c>
      <c r="I13" s="277">
        <f t="shared" si="2"/>
        <v>798072.18981988577</v>
      </c>
      <c r="J13" s="277">
        <f t="shared" si="2"/>
        <v>955182.58287116245</v>
      </c>
      <c r="K13" s="277">
        <f t="shared" si="2"/>
        <v>1184594.6013208397</v>
      </c>
    </row>
    <row r="14" spans="1:11" hidden="1" x14ac:dyDescent="0.15">
      <c r="A14" s="252" t="s">
        <v>95</v>
      </c>
      <c r="B14" s="254"/>
      <c r="C14" s="254"/>
      <c r="D14" s="254">
        <v>220656.58</v>
      </c>
      <c r="E14" s="254">
        <v>255567.87</v>
      </c>
      <c r="F14" s="254">
        <v>264892.84000000003</v>
      </c>
      <c r="G14" s="254">
        <f>业务模型!G11</f>
        <v>286279.71346242569</v>
      </c>
      <c r="H14" s="254">
        <f>业务模型!H11</f>
        <v>313316.58881984686</v>
      </c>
      <c r="I14" s="254">
        <f>业务模型!I11</f>
        <v>358572.7146073053</v>
      </c>
      <c r="J14" s="254">
        <f>业务模型!J11</f>
        <v>428294.36882208067</v>
      </c>
      <c r="K14" s="254">
        <f>业务模型!K11</f>
        <v>532987.57073020353</v>
      </c>
    </row>
    <row r="15" spans="1:11" hidden="1" x14ac:dyDescent="0.15">
      <c r="A15" s="252" t="s">
        <v>96</v>
      </c>
      <c r="B15" s="253"/>
      <c r="C15" s="253"/>
      <c r="D15" s="253">
        <v>56674.19</v>
      </c>
      <c r="E15" s="253">
        <v>95916.41</v>
      </c>
      <c r="F15" s="253">
        <v>177518.79</v>
      </c>
      <c r="G15" s="277">
        <f>业务模型!G18</f>
        <v>244298.16451691414</v>
      </c>
      <c r="H15" s="277">
        <f>业务模型!H18</f>
        <v>286776.56428764237</v>
      </c>
      <c r="I15" s="277">
        <f>业务模型!I18</f>
        <v>345244.37643592234</v>
      </c>
      <c r="J15" s="277">
        <f>业务模型!J18</f>
        <v>422537.4541462448</v>
      </c>
      <c r="K15" s="277">
        <f>业务模型!K18</f>
        <v>538261.72657372057</v>
      </c>
    </row>
    <row r="16" spans="1:11" hidden="1" x14ac:dyDescent="0.15">
      <c r="A16" s="252" t="s">
        <v>97</v>
      </c>
      <c r="B16" s="254"/>
      <c r="C16" s="254"/>
      <c r="D16" s="254">
        <v>1736.01</v>
      </c>
      <c r="E16" s="254">
        <v>5881.79</v>
      </c>
      <c r="F16" s="254">
        <v>15797.52</v>
      </c>
      <c r="G16" s="254">
        <f>业务模型!G46</f>
        <v>24238.912648678514</v>
      </c>
      <c r="H16" s="254">
        <f>业务模型!H46</f>
        <v>30521.229254969974</v>
      </c>
      <c r="I16" s="254">
        <f>业务模型!I46</f>
        <v>35432.192042982679</v>
      </c>
      <c r="J16" s="254">
        <f>业务模型!J46</f>
        <v>40424.743710376926</v>
      </c>
      <c r="K16" s="254">
        <f>业务模型!K46</f>
        <v>44099.53067629633</v>
      </c>
    </row>
    <row r="17" spans="1:11" hidden="1" x14ac:dyDescent="0.15">
      <c r="A17" s="252" t="s">
        <v>98</v>
      </c>
      <c r="B17" s="253"/>
      <c r="C17" s="253"/>
      <c r="D17" s="253">
        <v>20545.91</v>
      </c>
      <c r="E17" s="253">
        <v>29518.3</v>
      </c>
      <c r="F17" s="253">
        <v>37150.379999999997</v>
      </c>
      <c r="G17" s="277">
        <f>业务模型!G32</f>
        <v>42209.441615325501</v>
      </c>
      <c r="H17" s="277">
        <f>业务模型!H32</f>
        <v>47100.638670759705</v>
      </c>
      <c r="I17" s="277">
        <f>业务模型!I32</f>
        <v>51973.561596689244</v>
      </c>
      <c r="J17" s="277">
        <f>业务模型!J32</f>
        <v>56718.691315214601</v>
      </c>
      <c r="K17" s="277">
        <f>业务模型!K32</f>
        <v>61661.124375244995</v>
      </c>
    </row>
    <row r="18" spans="1:11" hidden="1" x14ac:dyDescent="0.15">
      <c r="A18" s="252" t="s">
        <v>99</v>
      </c>
      <c r="B18" s="254"/>
      <c r="C18" s="254"/>
      <c r="D18" s="254">
        <v>6737.12</v>
      </c>
      <c r="E18" s="254">
        <v>6601.53</v>
      </c>
      <c r="F18" s="254">
        <v>5943.78</v>
      </c>
      <c r="G18" s="254">
        <f>业务模型!G25</f>
        <v>5486.1047453573983</v>
      </c>
      <c r="H18" s="254">
        <f>业务模型!H25</f>
        <v>5518.4751621464311</v>
      </c>
      <c r="I18" s="254">
        <f>业务模型!I25</f>
        <v>5688.9984576020979</v>
      </c>
      <c r="J18" s="254">
        <f>业务模型!J25</f>
        <v>6007.0159588884644</v>
      </c>
      <c r="K18" s="254">
        <f>业务模型!K25</f>
        <v>6342.8107775494345</v>
      </c>
    </row>
    <row r="19" spans="1:11" hidden="1" x14ac:dyDescent="0.15">
      <c r="A19" s="252" t="s">
        <v>100</v>
      </c>
      <c r="B19" s="253"/>
      <c r="C19" s="253"/>
      <c r="D19" s="253">
        <v>1613.03</v>
      </c>
      <c r="E19" s="253">
        <v>615.89</v>
      </c>
      <c r="F19" s="253">
        <v>196.4</v>
      </c>
      <c r="G19" s="277">
        <f>业务模型!G39</f>
        <v>142.69255671054671</v>
      </c>
      <c r="H19" s="277">
        <f>业务模型!H39</f>
        <v>135.07481842010293</v>
      </c>
      <c r="I19" s="277">
        <f>业务模型!I39</f>
        <v>135.07481842010293</v>
      </c>
      <c r="J19" s="277">
        <f>业务模型!J39</f>
        <v>135.07481842010293</v>
      </c>
      <c r="K19" s="277">
        <f>业务模型!K39</f>
        <v>135.07481842010293</v>
      </c>
    </row>
    <row r="20" spans="1:11" hidden="1" x14ac:dyDescent="0.15">
      <c r="A20" s="252" t="s">
        <v>101</v>
      </c>
      <c r="B20" s="254"/>
      <c r="C20" s="254"/>
      <c r="D20" s="254">
        <v>750.34</v>
      </c>
      <c r="E20" s="254">
        <v>533.04</v>
      </c>
      <c r="F20" s="254">
        <v>729.86</v>
      </c>
      <c r="G20" s="254">
        <f>业务模型!G53</f>
        <v>850.96922560000007</v>
      </c>
      <c r="H20" s="254">
        <f>业务模型!H53</f>
        <v>885.00799462400005</v>
      </c>
      <c r="I20" s="254">
        <f>业务模型!I53</f>
        <v>920.40831440896022</v>
      </c>
      <c r="J20" s="254">
        <f>业务模型!J53</f>
        <v>957.22464698531871</v>
      </c>
      <c r="K20" s="254">
        <f>业务模型!K53</f>
        <v>995.51363286473133</v>
      </c>
    </row>
    <row r="21" spans="1:11" hidden="1" x14ac:dyDescent="0.15">
      <c r="A21" s="252" t="s">
        <v>102</v>
      </c>
      <c r="B21" s="253"/>
      <c r="C21" s="253"/>
      <c r="D21" s="253">
        <v>12.2</v>
      </c>
      <c r="E21" s="253">
        <v>157.05000000000001</v>
      </c>
      <c r="F21" s="253">
        <v>111.07</v>
      </c>
      <c r="G21" s="277">
        <f>业务模型!G60</f>
        <v>105.689536</v>
      </c>
      <c r="H21" s="277">
        <f>业务模型!H60</f>
        <v>104.37325162000002</v>
      </c>
      <c r="I21" s="277">
        <f>业务模型!I60</f>
        <v>104.86354655500003</v>
      </c>
      <c r="J21" s="277">
        <f>业务模型!J60</f>
        <v>108.00945295165002</v>
      </c>
      <c r="K21" s="277">
        <f>业务模型!K60</f>
        <v>111.24973654019952</v>
      </c>
    </row>
    <row r="22" spans="1:11" hidden="1" x14ac:dyDescent="0.15">
      <c r="A22" s="252" t="s">
        <v>103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</row>
    <row r="23" spans="1:11" hidden="1" x14ac:dyDescent="0.15">
      <c r="A23" s="252" t="s">
        <v>104</v>
      </c>
      <c r="B23" s="253"/>
      <c r="C23" s="253"/>
      <c r="D23" s="253"/>
      <c r="E23" s="253"/>
      <c r="F23" s="253"/>
      <c r="G23" s="277"/>
      <c r="H23" s="277"/>
      <c r="I23" s="277"/>
      <c r="J23" s="277"/>
      <c r="K23" s="277"/>
    </row>
    <row r="24" spans="1:11" hidden="1" x14ac:dyDescent="0.15">
      <c r="A24" s="252" t="s">
        <v>105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</row>
    <row r="25" spans="1:11" hidden="1" x14ac:dyDescent="0.15">
      <c r="A25" s="252" t="s">
        <v>106</v>
      </c>
      <c r="B25" s="253"/>
      <c r="C25" s="253"/>
      <c r="D25" s="253"/>
      <c r="E25" s="253"/>
      <c r="F25" s="253"/>
      <c r="G25" s="277"/>
      <c r="H25" s="277"/>
      <c r="I25" s="277"/>
      <c r="J25" s="277"/>
      <c r="K25" s="277"/>
    </row>
    <row r="26" spans="1:11" hidden="1" x14ac:dyDescent="0.15">
      <c r="A26" s="252" t="s">
        <v>107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</row>
    <row r="27" spans="1:11" hidden="1" x14ac:dyDescent="0.15">
      <c r="A27" s="252" t="s">
        <v>108</v>
      </c>
      <c r="B27" s="253"/>
      <c r="C27" s="253"/>
      <c r="D27" s="253"/>
      <c r="E27" s="253"/>
      <c r="F27" s="253"/>
      <c r="G27" s="277"/>
      <c r="H27" s="277"/>
      <c r="I27" s="277"/>
      <c r="J27" s="277"/>
      <c r="K27" s="277"/>
    </row>
    <row r="28" spans="1:11" hidden="1" x14ac:dyDescent="0.15">
      <c r="A28" s="252" t="s">
        <v>109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</row>
    <row r="29" spans="1:11" hidden="1" x14ac:dyDescent="0.15">
      <c r="A29" s="252" t="s">
        <v>110</v>
      </c>
      <c r="B29" s="253"/>
      <c r="C29" s="253"/>
      <c r="D29" s="253"/>
      <c r="E29" s="253"/>
      <c r="F29" s="253"/>
      <c r="G29" s="277"/>
      <c r="H29" s="277"/>
      <c r="I29" s="277"/>
      <c r="J29" s="277"/>
      <c r="K29" s="277"/>
    </row>
    <row r="30" spans="1:11" hidden="1" x14ac:dyDescent="0.15">
      <c r="A30" s="252" t="s">
        <v>111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</row>
    <row r="31" spans="1:11" hidden="1" x14ac:dyDescent="0.15">
      <c r="A31" s="252" t="s">
        <v>112</v>
      </c>
      <c r="B31" s="253"/>
      <c r="C31" s="253"/>
      <c r="D31" s="253"/>
      <c r="E31" s="253"/>
      <c r="F31" s="253"/>
      <c r="G31" s="277"/>
      <c r="H31" s="277"/>
      <c r="I31" s="277"/>
      <c r="J31" s="277"/>
      <c r="K31" s="277"/>
    </row>
    <row r="32" spans="1:11" x14ac:dyDescent="0.15">
      <c r="A32" s="252" t="s">
        <v>113</v>
      </c>
      <c r="B32" s="254">
        <v>238.38</v>
      </c>
      <c r="C32" s="254">
        <v>576.11</v>
      </c>
      <c r="D32" s="254">
        <v>1488.74</v>
      </c>
      <c r="E32" s="254">
        <v>3100.83</v>
      </c>
      <c r="F32" s="254">
        <v>3215</v>
      </c>
      <c r="G32" s="254">
        <f>G5*G84</f>
        <v>3181.4594748474292</v>
      </c>
      <c r="H32" s="254">
        <f>H5*H84</f>
        <v>3615.0152426596542</v>
      </c>
      <c r="I32" s="254">
        <f>I5*I84</f>
        <v>4225.0900015052039</v>
      </c>
      <c r="J32" s="254">
        <f>J5*J84</f>
        <v>5059.9373414447418</v>
      </c>
      <c r="K32" s="254">
        <f>K5*K84</f>
        <v>6273.7829710243532</v>
      </c>
    </row>
    <row r="33" spans="1:11" x14ac:dyDescent="0.15">
      <c r="A33" s="252" t="s">
        <v>114</v>
      </c>
      <c r="B33" s="253">
        <v>23435.71</v>
      </c>
      <c r="C33" s="253">
        <v>49745.64</v>
      </c>
      <c r="D33" s="253">
        <v>91777.33</v>
      </c>
      <c r="E33" s="253">
        <v>107537.51</v>
      </c>
      <c r="F33" s="253">
        <v>146071.28</v>
      </c>
      <c r="G33" s="277">
        <f>G5*G85</f>
        <v>173135.96418642969</v>
      </c>
      <c r="H33" s="277">
        <f>H5*H85</f>
        <v>194344.29853038644</v>
      </c>
      <c r="I33" s="277">
        <f>I5*I85</f>
        <v>224353.55368990925</v>
      </c>
      <c r="J33" s="277">
        <f>J5*J85</f>
        <v>265344.65671739425</v>
      </c>
      <c r="K33" s="277">
        <f>K5*K85</f>
        <v>324858.41473792435</v>
      </c>
    </row>
    <row r="34" spans="1:11" x14ac:dyDescent="0.15">
      <c r="A34" s="252" t="s">
        <v>115</v>
      </c>
      <c r="B34" s="254">
        <v>1661.62</v>
      </c>
      <c r="C34" s="254">
        <v>3884.19</v>
      </c>
      <c r="D34" s="254">
        <v>9976.77</v>
      </c>
      <c r="E34" s="254">
        <v>10165.64</v>
      </c>
      <c r="F34" s="254">
        <v>11346.67</v>
      </c>
      <c r="G34" s="254">
        <f>G5*G86</f>
        <v>14278.321422579802</v>
      </c>
      <c r="H34" s="254">
        <f>H5*H86</f>
        <v>17178.469778439794</v>
      </c>
      <c r="I34" s="254">
        <f>I5*I86</f>
        <v>21192.949477091955</v>
      </c>
      <c r="J34" s="254">
        <f>J5*J86</f>
        <v>26716.340616422007</v>
      </c>
      <c r="K34" s="254">
        <f>K5*K86</f>
        <v>34781.685438324785</v>
      </c>
    </row>
    <row r="35" spans="1:11" x14ac:dyDescent="0.15">
      <c r="A35" s="252" t="s">
        <v>116</v>
      </c>
      <c r="B35" s="253"/>
      <c r="C35" s="253"/>
      <c r="D35" s="253">
        <v>1184.3399999999999</v>
      </c>
      <c r="E35" s="253">
        <v>1676.67</v>
      </c>
      <c r="F35" s="253">
        <v>3411.8</v>
      </c>
      <c r="G35" s="277">
        <f>G5*G87</f>
        <v>4932.8976411633057</v>
      </c>
      <c r="H35" s="277">
        <f>H5*H87</f>
        <v>6559.4913862807034</v>
      </c>
      <c r="I35" s="277">
        <f>I5*I87</f>
        <v>8781.8982313157176</v>
      </c>
      <c r="J35" s="277">
        <f>J5*J87</f>
        <v>11852.955073696279</v>
      </c>
      <c r="K35" s="277">
        <f>K5*K87</f>
        <v>16352.671634944945</v>
      </c>
    </row>
    <row r="36" spans="1:11" x14ac:dyDescent="0.15">
      <c r="A36" s="252" t="s">
        <v>117</v>
      </c>
      <c r="B36" s="254">
        <v>-105.71</v>
      </c>
      <c r="C36" s="254">
        <v>-20.88</v>
      </c>
      <c r="D36" s="254">
        <v>117.86</v>
      </c>
      <c r="E36" s="254">
        <v>-68.31</v>
      </c>
      <c r="F36" s="254">
        <v>-910.05</v>
      </c>
      <c r="G36" s="254">
        <f>G5*G88</f>
        <v>-323.74106188422098</v>
      </c>
      <c r="H36" s="254">
        <f>H5*H88</f>
        <v>-367.85911706211687</v>
      </c>
      <c r="I36" s="254">
        <f>I5*I88</f>
        <v>-429.93950872477978</v>
      </c>
      <c r="J36" s="254">
        <f>J5*J88</f>
        <v>-514.89245767164778</v>
      </c>
      <c r="K36" s="254">
        <f>K5*K88</f>
        <v>-638.41176577236456</v>
      </c>
    </row>
    <row r="37" spans="1:11" hidden="1" x14ac:dyDescent="0.15">
      <c r="A37" s="252" t="s">
        <v>118</v>
      </c>
      <c r="B37" s="253"/>
      <c r="C37" s="253"/>
      <c r="D37" s="253">
        <v>541.57000000000005</v>
      </c>
      <c r="E37" s="253">
        <v>313.64</v>
      </c>
      <c r="F37" s="253">
        <v>316.86</v>
      </c>
      <c r="G37" s="277"/>
      <c r="H37" s="277"/>
      <c r="I37" s="277"/>
      <c r="J37" s="277"/>
      <c r="K37" s="277"/>
    </row>
    <row r="38" spans="1:11" hidden="1" x14ac:dyDescent="0.15">
      <c r="A38" s="252" t="s">
        <v>119</v>
      </c>
      <c r="B38" s="254"/>
      <c r="C38" s="254"/>
      <c r="D38" s="254">
        <v>121.67</v>
      </c>
      <c r="E38" s="254">
        <v>355.43</v>
      </c>
      <c r="F38" s="254">
        <v>758.35</v>
      </c>
      <c r="G38" s="254"/>
      <c r="H38" s="254"/>
      <c r="I38" s="254"/>
      <c r="J38" s="254"/>
      <c r="K38" s="254"/>
    </row>
    <row r="39" spans="1:11" x14ac:dyDescent="0.15">
      <c r="A39" s="252" t="s">
        <v>120</v>
      </c>
      <c r="B39" s="253"/>
      <c r="C39" s="253"/>
      <c r="D39" s="253"/>
      <c r="E39" s="253"/>
      <c r="F39" s="253"/>
      <c r="G39" s="277"/>
      <c r="H39" s="277"/>
      <c r="I39" s="277"/>
      <c r="J39" s="277"/>
      <c r="K39" s="277"/>
    </row>
    <row r="40" spans="1:11" hidden="1" x14ac:dyDescent="0.15">
      <c r="A40" s="252" t="s">
        <v>121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</row>
    <row r="41" spans="1:11" hidden="1" x14ac:dyDescent="0.15">
      <c r="A41" s="252" t="s">
        <v>122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3"/>
    </row>
    <row r="42" spans="1:11" hidden="1" x14ac:dyDescent="0.15">
      <c r="A42" s="252" t="s">
        <v>123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</row>
    <row r="43" spans="1:11" hidden="1" x14ac:dyDescent="0.15">
      <c r="A43" s="252" t="s">
        <v>124</v>
      </c>
      <c r="B43" s="253"/>
      <c r="C43" s="253"/>
      <c r="D43" s="253"/>
      <c r="E43" s="253"/>
      <c r="F43" s="253"/>
      <c r="G43" s="277"/>
      <c r="H43" s="277"/>
      <c r="I43" s="277"/>
      <c r="J43" s="277"/>
      <c r="K43" s="277"/>
    </row>
    <row r="44" spans="1:11" hidden="1" x14ac:dyDescent="0.15">
      <c r="A44" s="252" t="s">
        <v>125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pans="1:11" hidden="1" x14ac:dyDescent="0.15">
      <c r="A45" s="252" t="s">
        <v>126</v>
      </c>
      <c r="B45" s="253"/>
      <c r="C45" s="253"/>
      <c r="D45" s="253"/>
      <c r="E45" s="253"/>
      <c r="F45" s="253"/>
      <c r="G45" s="277"/>
      <c r="H45" s="277"/>
      <c r="I45" s="277"/>
      <c r="J45" s="277"/>
      <c r="K45" s="277"/>
    </row>
    <row r="46" spans="1:11" hidden="1" x14ac:dyDescent="0.15">
      <c r="A46" s="252" t="s">
        <v>127</v>
      </c>
      <c r="B46" s="254"/>
      <c r="C46" s="254"/>
      <c r="D46" s="254"/>
      <c r="E46" s="254"/>
      <c r="F46" s="254"/>
      <c r="G46" s="254"/>
      <c r="H46" s="254"/>
      <c r="I46" s="254"/>
      <c r="J46" s="254"/>
      <c r="K46" s="254"/>
    </row>
    <row r="47" spans="1:11" x14ac:dyDescent="0.15">
      <c r="A47" s="252" t="s">
        <v>128</v>
      </c>
      <c r="B47" s="253">
        <v>1301.3599999999999</v>
      </c>
      <c r="C47" s="253">
        <v>685.66</v>
      </c>
      <c r="D47" s="253">
        <v>2613.14</v>
      </c>
      <c r="E47" s="253">
        <v>2598.6</v>
      </c>
      <c r="F47" s="253">
        <v>5317.7</v>
      </c>
      <c r="G47" s="278">
        <f>F47*1.1</f>
        <v>5849.47</v>
      </c>
      <c r="H47" s="278">
        <f t="shared" ref="H47:K47" si="3">G47*1.1</f>
        <v>6434.4170000000004</v>
      </c>
      <c r="I47" s="278">
        <f t="shared" si="3"/>
        <v>7077.8587000000007</v>
      </c>
      <c r="J47" s="278">
        <f t="shared" si="3"/>
        <v>7785.6445700000013</v>
      </c>
      <c r="K47" s="278">
        <f t="shared" si="3"/>
        <v>8564.2090270000026</v>
      </c>
    </row>
    <row r="48" spans="1:11" x14ac:dyDescent="0.15">
      <c r="A48" s="252" t="s">
        <v>129</v>
      </c>
      <c r="B48" s="254">
        <v>148.46</v>
      </c>
      <c r="C48" s="254">
        <v>75.06</v>
      </c>
      <c r="D48" s="254">
        <v>187.39</v>
      </c>
      <c r="E48" s="254">
        <v>579.86</v>
      </c>
      <c r="F48" s="254">
        <v>568.94000000000005</v>
      </c>
      <c r="G48" s="278">
        <f>AVERAGE(E48:F48)</f>
        <v>574.40000000000009</v>
      </c>
      <c r="H48" s="278">
        <f>G48*1.06</f>
        <v>608.86400000000015</v>
      </c>
      <c r="I48" s="278">
        <f t="shared" ref="I48:K48" si="4">H48*1.06</f>
        <v>645.39584000000013</v>
      </c>
      <c r="J48" s="278">
        <f t="shared" si="4"/>
        <v>684.11959040000022</v>
      </c>
      <c r="K48" s="278">
        <f t="shared" si="4"/>
        <v>725.16676582400032</v>
      </c>
    </row>
    <row r="49" spans="1:11" x14ac:dyDescent="0.15">
      <c r="A49" s="252" t="s">
        <v>130</v>
      </c>
      <c r="B49" s="253"/>
      <c r="C49" s="253"/>
      <c r="D49" s="253">
        <v>0</v>
      </c>
      <c r="E49" s="253">
        <v>-10.14</v>
      </c>
      <c r="F49" s="253">
        <v>-1.27</v>
      </c>
      <c r="G49" s="277"/>
      <c r="H49" s="277"/>
      <c r="I49" s="277"/>
      <c r="J49" s="277"/>
      <c r="K49" s="277"/>
    </row>
    <row r="50" spans="1:11" x14ac:dyDescent="0.15">
      <c r="A50" s="252" t="s">
        <v>131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</row>
    <row r="51" spans="1:11" x14ac:dyDescent="0.15">
      <c r="A51" s="252" t="s">
        <v>132</v>
      </c>
      <c r="B51" s="253"/>
      <c r="C51" s="253"/>
      <c r="D51" s="253"/>
      <c r="E51" s="253"/>
      <c r="F51" s="253"/>
      <c r="G51" s="277"/>
      <c r="H51" s="277"/>
      <c r="I51" s="277"/>
      <c r="J51" s="277"/>
      <c r="K51" s="277"/>
    </row>
    <row r="52" spans="1:11" x14ac:dyDescent="0.15">
      <c r="A52" s="252" t="s">
        <v>133</v>
      </c>
      <c r="B52" s="254"/>
      <c r="C52" s="254"/>
      <c r="D52" s="254"/>
      <c r="E52" s="254"/>
      <c r="F52" s="254"/>
      <c r="G52" s="254"/>
      <c r="H52" s="254"/>
      <c r="I52" s="254"/>
      <c r="J52" s="254"/>
      <c r="K52" s="254"/>
    </row>
    <row r="53" spans="1:11" x14ac:dyDescent="0.15">
      <c r="A53" s="252" t="s">
        <v>134</v>
      </c>
      <c r="B53" s="253">
        <v>24.99</v>
      </c>
      <c r="C53" s="253">
        <v>76.989999999999995</v>
      </c>
      <c r="D53" s="253">
        <v>189.45</v>
      </c>
      <c r="E53" s="253">
        <v>666.74</v>
      </c>
      <c r="F53" s="253">
        <v>781.68</v>
      </c>
      <c r="G53" s="278">
        <f>G5*G89</f>
        <v>839.90126015175304</v>
      </c>
      <c r="H53" s="278">
        <f>H5*H89</f>
        <v>954.35943213554401</v>
      </c>
      <c r="I53" s="278">
        <f>I5*I89</f>
        <v>1115.4183935311553</v>
      </c>
      <c r="J53" s="278">
        <f>J5*J89</f>
        <v>1335.8170308211002</v>
      </c>
      <c r="K53" s="278">
        <f>K5*K89</f>
        <v>1656.2707351583226</v>
      </c>
    </row>
    <row r="54" spans="1:11" x14ac:dyDescent="0.15">
      <c r="A54" s="252" t="s">
        <v>135</v>
      </c>
      <c r="B54" s="254"/>
      <c r="C54" s="254"/>
      <c r="D54" s="254"/>
      <c r="E54" s="254"/>
      <c r="F54" s="254"/>
      <c r="G54" s="254"/>
      <c r="H54" s="254"/>
      <c r="I54" s="254"/>
      <c r="J54" s="254"/>
      <c r="K54" s="254"/>
    </row>
    <row r="55" spans="1:11" x14ac:dyDescent="0.15">
      <c r="A55" s="252" t="s">
        <v>136</v>
      </c>
      <c r="B55" s="253"/>
      <c r="C55" s="253"/>
      <c r="D55" s="253"/>
      <c r="E55" s="253"/>
      <c r="F55" s="253">
        <v>38.26</v>
      </c>
      <c r="G55" s="278">
        <f>F55*1.08</f>
        <v>41.320799999999998</v>
      </c>
      <c r="H55" s="278">
        <f t="shared" ref="H55:K55" si="5">G55*1.08</f>
        <v>44.626463999999999</v>
      </c>
      <c r="I55" s="278">
        <f t="shared" si="5"/>
        <v>48.196581120000005</v>
      </c>
      <c r="J55" s="278">
        <f t="shared" si="5"/>
        <v>52.052307609600007</v>
      </c>
      <c r="K55" s="278">
        <f t="shared" si="5"/>
        <v>56.21649221836801</v>
      </c>
    </row>
    <row r="56" spans="1:11" x14ac:dyDescent="0.15">
      <c r="A56" s="252" t="s">
        <v>137</v>
      </c>
      <c r="B56" s="253"/>
      <c r="C56" s="253"/>
      <c r="D56" s="253"/>
      <c r="E56" s="253"/>
      <c r="F56" s="253"/>
      <c r="G56" s="277"/>
      <c r="H56" s="277"/>
      <c r="I56" s="277"/>
      <c r="J56" s="277"/>
      <c r="K56" s="277"/>
    </row>
    <row r="57" spans="1:11" x14ac:dyDescent="0.15">
      <c r="A57" s="252" t="s">
        <v>138</v>
      </c>
      <c r="B57" s="254"/>
      <c r="C57" s="254"/>
      <c r="D57" s="254"/>
      <c r="E57" s="254"/>
      <c r="F57" s="254"/>
      <c r="G57" s="254"/>
      <c r="H57" s="254"/>
      <c r="I57" s="254"/>
      <c r="J57" s="254"/>
      <c r="K57" s="254"/>
    </row>
    <row r="58" spans="1:11" x14ac:dyDescent="0.15">
      <c r="A58" s="252" t="s">
        <v>139</v>
      </c>
      <c r="B58" s="253"/>
      <c r="C58" s="253"/>
      <c r="D58" s="253"/>
      <c r="E58" s="253"/>
      <c r="F58" s="253"/>
      <c r="G58" s="277"/>
      <c r="H58" s="277"/>
      <c r="I58" s="277"/>
      <c r="J58" s="277"/>
      <c r="K58" s="277"/>
    </row>
    <row r="59" spans="1:11" x14ac:dyDescent="0.15">
      <c r="A59" s="252" t="s">
        <v>140</v>
      </c>
      <c r="B59" s="254">
        <v>-1478.85</v>
      </c>
      <c r="C59" s="254">
        <v>1461.38</v>
      </c>
      <c r="D59" s="254">
        <v>31610.28</v>
      </c>
      <c r="E59" s="254">
        <v>40726.17</v>
      </c>
      <c r="F59" s="254">
        <v>39784.559999999998</v>
      </c>
      <c r="G59" s="254">
        <f>G5-G11+G47+G48+G53+G55</f>
        <v>48389.762241756907</v>
      </c>
      <c r="H59" s="254">
        <f t="shared" ref="H59:K59" si="6">H5-H11+H47+H48+H53+H55</f>
        <v>56714.330950945638</v>
      </c>
      <c r="I59" s="254">
        <f t="shared" si="6"/>
        <v>68109.52133482325</v>
      </c>
      <c r="J59" s="254">
        <f t="shared" si="6"/>
        <v>82033.084157482706</v>
      </c>
      <c r="K59" s="254">
        <f t="shared" si="6"/>
        <v>101049.85384123768</v>
      </c>
    </row>
    <row r="60" spans="1:11" x14ac:dyDescent="0.15">
      <c r="A60" s="252" t="s">
        <v>141</v>
      </c>
      <c r="B60" s="253">
        <v>82.46</v>
      </c>
      <c r="C60" s="253">
        <v>94.75</v>
      </c>
      <c r="D60" s="253">
        <v>380.37</v>
      </c>
      <c r="E60" s="253">
        <v>304.31</v>
      </c>
      <c r="F60" s="253">
        <v>534.61</v>
      </c>
      <c r="G60" s="278">
        <f>F60*1.15</f>
        <v>614.80149999999992</v>
      </c>
      <c r="H60" s="278">
        <f t="shared" ref="H60:K60" si="7">G60*1.15</f>
        <v>707.02172499999983</v>
      </c>
      <c r="I60" s="278">
        <f t="shared" si="7"/>
        <v>813.07498374999977</v>
      </c>
      <c r="J60" s="278">
        <f t="shared" si="7"/>
        <v>935.03623131249969</v>
      </c>
      <c r="K60" s="278">
        <f t="shared" si="7"/>
        <v>1075.2916660093745</v>
      </c>
    </row>
    <row r="61" spans="1:11" x14ac:dyDescent="0.15">
      <c r="A61" s="252" t="s">
        <v>142</v>
      </c>
      <c r="B61" s="254">
        <v>21.01</v>
      </c>
      <c r="C61" s="254">
        <v>9.34</v>
      </c>
      <c r="D61" s="254">
        <v>406.24</v>
      </c>
      <c r="E61" s="254">
        <v>397.64</v>
      </c>
      <c r="F61" s="254">
        <v>136.38999999999999</v>
      </c>
      <c r="G61" s="278">
        <f>F61*1.15</f>
        <v>156.84849999999997</v>
      </c>
      <c r="H61" s="278">
        <f t="shared" ref="H61:K61" si="8">G61*1.15</f>
        <v>180.37577499999995</v>
      </c>
      <c r="I61" s="278">
        <f t="shared" si="8"/>
        <v>207.43214124999992</v>
      </c>
      <c r="J61" s="278">
        <f t="shared" si="8"/>
        <v>238.54696243749987</v>
      </c>
      <c r="K61" s="278">
        <f t="shared" si="8"/>
        <v>274.32900680312486</v>
      </c>
    </row>
    <row r="62" spans="1:11" x14ac:dyDescent="0.15">
      <c r="A62" s="252" t="s">
        <v>143</v>
      </c>
      <c r="B62" s="253"/>
      <c r="C62" s="253">
        <v>1.22</v>
      </c>
      <c r="D62" s="253"/>
      <c r="E62" s="253"/>
      <c r="F62" s="253"/>
      <c r="G62" s="253"/>
      <c r="H62" s="253"/>
      <c r="I62" s="253"/>
      <c r="J62" s="253"/>
      <c r="K62" s="253"/>
    </row>
    <row r="63" spans="1:11" x14ac:dyDescent="0.15">
      <c r="A63" s="252" t="s">
        <v>144</v>
      </c>
      <c r="B63" s="254"/>
      <c r="C63" s="254"/>
      <c r="D63" s="254"/>
      <c r="E63" s="254"/>
      <c r="F63" s="254"/>
      <c r="G63" s="254"/>
      <c r="H63" s="254"/>
      <c r="I63" s="254"/>
      <c r="J63" s="254"/>
      <c r="K63" s="254"/>
    </row>
    <row r="64" spans="1:11" x14ac:dyDescent="0.15">
      <c r="A64" s="252" t="s">
        <v>145</v>
      </c>
      <c r="B64" s="253"/>
      <c r="C64" s="253"/>
      <c r="D64" s="253"/>
      <c r="E64" s="253"/>
      <c r="F64" s="253"/>
      <c r="G64" s="253"/>
      <c r="H64" s="253"/>
      <c r="I64" s="253"/>
      <c r="J64" s="253"/>
      <c r="K64" s="253"/>
    </row>
    <row r="65" spans="1:11" x14ac:dyDescent="0.15">
      <c r="A65" s="252" t="s">
        <v>146</v>
      </c>
      <c r="B65" s="254">
        <v>-1417.4</v>
      </c>
      <c r="C65" s="254">
        <v>1546.79</v>
      </c>
      <c r="D65" s="254">
        <v>31584.42</v>
      </c>
      <c r="E65" s="254">
        <v>40632.839999999997</v>
      </c>
      <c r="F65" s="254">
        <v>40182.78</v>
      </c>
      <c r="G65" s="254">
        <f>G59+G60-G61</f>
        <v>48847.715241756909</v>
      </c>
      <c r="H65" s="254">
        <f t="shared" ref="H65:K65" si="9">H59+H60-H61</f>
        <v>57240.976900945636</v>
      </c>
      <c r="I65" s="254">
        <f t="shared" si="9"/>
        <v>68715.164177323255</v>
      </c>
      <c r="J65" s="254">
        <f t="shared" si="9"/>
        <v>82729.573426357703</v>
      </c>
      <c r="K65" s="254">
        <f t="shared" si="9"/>
        <v>101850.81650044394</v>
      </c>
    </row>
    <row r="66" spans="1:11" x14ac:dyDescent="0.15">
      <c r="A66" s="252" t="s">
        <v>147</v>
      </c>
      <c r="B66" s="253">
        <v>-130.91</v>
      </c>
      <c r="C66" s="253">
        <v>649.4</v>
      </c>
      <c r="D66" s="253">
        <v>7934.39</v>
      </c>
      <c r="E66" s="253">
        <v>10431.120000000001</v>
      </c>
      <c r="F66" s="253">
        <v>9796.7999999999993</v>
      </c>
      <c r="G66" s="253">
        <f>G65*G90</f>
        <v>12240.171997851638</v>
      </c>
      <c r="H66" s="253">
        <f>H65*H90</f>
        <v>14343.340300053453</v>
      </c>
      <c r="I66" s="253">
        <f>I65*I90</f>
        <v>17218.521362326846</v>
      </c>
      <c r="J66" s="253">
        <f>J65*J90</f>
        <v>20730.226644907321</v>
      </c>
      <c r="K66" s="253">
        <f>K65*K90</f>
        <v>25521.593096361579</v>
      </c>
    </row>
    <row r="67" spans="1:11" x14ac:dyDescent="0.15">
      <c r="A67" s="252" t="s">
        <v>148</v>
      </c>
      <c r="B67" s="254"/>
      <c r="C67" s="254"/>
      <c r="D67" s="254"/>
      <c r="E67" s="254"/>
      <c r="F67" s="254"/>
      <c r="G67" s="254"/>
      <c r="H67" s="254"/>
      <c r="I67" s="254"/>
      <c r="J67" s="254"/>
      <c r="K67" s="254"/>
    </row>
    <row r="68" spans="1:11" x14ac:dyDescent="0.15">
      <c r="A68" s="252" t="s">
        <v>149</v>
      </c>
      <c r="B68" s="253"/>
      <c r="C68" s="253"/>
      <c r="D68" s="253"/>
      <c r="E68" s="253"/>
      <c r="F68" s="253"/>
      <c r="G68" s="253"/>
      <c r="H68" s="253"/>
      <c r="I68" s="253"/>
      <c r="J68" s="253"/>
      <c r="K68" s="253"/>
    </row>
    <row r="69" spans="1:11" x14ac:dyDescent="0.15">
      <c r="A69" s="252" t="s">
        <v>150</v>
      </c>
      <c r="B69" s="254"/>
      <c r="C69" s="254"/>
      <c r="D69" s="254"/>
      <c r="E69" s="254"/>
      <c r="F69" s="254"/>
      <c r="G69" s="254"/>
      <c r="H69" s="254"/>
      <c r="I69" s="254"/>
      <c r="J69" s="254"/>
      <c r="K69" s="254"/>
    </row>
    <row r="70" spans="1:11" x14ac:dyDescent="0.15">
      <c r="A70" s="252" t="s">
        <v>151</v>
      </c>
      <c r="B70" s="253">
        <v>-1286.49</v>
      </c>
      <c r="C70" s="253">
        <v>897.39</v>
      </c>
      <c r="D70" s="253">
        <v>23650.03</v>
      </c>
      <c r="E70" s="253">
        <v>30201.72</v>
      </c>
      <c r="F70" s="253">
        <v>30385.98</v>
      </c>
      <c r="G70" s="253">
        <f>G65-G66</f>
        <v>36607.543243905267</v>
      </c>
      <c r="H70" s="253">
        <f t="shared" ref="H70:K70" si="10">H65-H66</f>
        <v>42897.636600892183</v>
      </c>
      <c r="I70" s="253">
        <f t="shared" si="10"/>
        <v>51496.642814996405</v>
      </c>
      <c r="J70" s="253">
        <f t="shared" si="10"/>
        <v>61999.346781450382</v>
      </c>
      <c r="K70" s="253">
        <f t="shared" si="10"/>
        <v>76329.223404082353</v>
      </c>
    </row>
    <row r="71" spans="1:11" x14ac:dyDescent="0.15">
      <c r="A71" s="252" t="s">
        <v>152</v>
      </c>
      <c r="B71" s="254"/>
      <c r="C71" s="254"/>
      <c r="D71" s="254">
        <v>23650.03</v>
      </c>
      <c r="E71" s="254">
        <v>30203.97</v>
      </c>
      <c r="F71" s="254">
        <v>30385.98</v>
      </c>
      <c r="G71" s="254">
        <f>G70</f>
        <v>36607.543243905267</v>
      </c>
      <c r="H71" s="254">
        <f t="shared" ref="H71:K71" si="11">H70</f>
        <v>42897.636600892183</v>
      </c>
      <c r="I71" s="254">
        <f t="shared" si="11"/>
        <v>51496.642814996405</v>
      </c>
      <c r="J71" s="254">
        <f t="shared" si="11"/>
        <v>61999.346781450382</v>
      </c>
      <c r="K71" s="254">
        <f t="shared" si="11"/>
        <v>76329.223404082353</v>
      </c>
    </row>
    <row r="72" spans="1:11" x14ac:dyDescent="0.15">
      <c r="A72" s="252" t="s">
        <v>153</v>
      </c>
      <c r="B72" s="253"/>
      <c r="C72" s="253"/>
      <c r="D72" s="253"/>
      <c r="E72" s="253">
        <v>-2.25</v>
      </c>
      <c r="F72" s="253"/>
      <c r="G72" s="253"/>
      <c r="H72" s="253"/>
      <c r="I72" s="253"/>
      <c r="J72" s="253"/>
      <c r="K72" s="253"/>
    </row>
    <row r="73" spans="1:11" x14ac:dyDescent="0.15">
      <c r="A73" s="252" t="s">
        <v>154</v>
      </c>
      <c r="B73" s="254"/>
      <c r="C73" s="254"/>
      <c r="D73" s="254"/>
      <c r="E73" s="254"/>
      <c r="F73" s="254"/>
      <c r="G73" s="254"/>
      <c r="H73" s="254"/>
      <c r="I73" s="254"/>
      <c r="J73" s="254"/>
      <c r="K73" s="254"/>
    </row>
    <row r="74" spans="1:11" x14ac:dyDescent="0.15">
      <c r="A74" s="252" t="s">
        <v>155</v>
      </c>
      <c r="B74" s="253">
        <v>-1286.49</v>
      </c>
      <c r="C74" s="253">
        <v>897.39</v>
      </c>
      <c r="D74" s="253">
        <v>23650.03</v>
      </c>
      <c r="E74" s="253">
        <v>30201.72</v>
      </c>
      <c r="F74" s="253">
        <v>30385.98</v>
      </c>
      <c r="G74" s="253">
        <f>G70-G73</f>
        <v>36607.543243905267</v>
      </c>
      <c r="H74" s="253">
        <f t="shared" ref="H74:K74" si="12">H70-H73</f>
        <v>42897.636600892183</v>
      </c>
      <c r="I74" s="253">
        <f t="shared" si="12"/>
        <v>51496.642814996405</v>
      </c>
      <c r="J74" s="253">
        <f t="shared" si="12"/>
        <v>61999.346781450382</v>
      </c>
      <c r="K74" s="253">
        <f t="shared" si="12"/>
        <v>76329.223404082353</v>
      </c>
    </row>
    <row r="75" spans="1:11" x14ac:dyDescent="0.15">
      <c r="A75" s="252" t="s">
        <v>156</v>
      </c>
      <c r="B75" s="254"/>
      <c r="C75" s="254"/>
      <c r="D75" s="254"/>
      <c r="E75" s="254"/>
      <c r="F75" s="254"/>
      <c r="G75" s="254"/>
      <c r="H75" s="254"/>
      <c r="I75" s="254"/>
      <c r="J75" s="254"/>
      <c r="K75" s="254"/>
    </row>
    <row r="76" spans="1:11" x14ac:dyDescent="0.15">
      <c r="A76" s="252" t="s">
        <v>157</v>
      </c>
      <c r="B76" s="253">
        <v>-1286.49</v>
      </c>
      <c r="C76" s="253">
        <v>897.39</v>
      </c>
      <c r="D76" s="253">
        <v>23650.03</v>
      </c>
      <c r="E76" s="253">
        <v>30201.72</v>
      </c>
      <c r="F76" s="253">
        <v>30385.98</v>
      </c>
      <c r="G76" s="253">
        <f>G70+G75</f>
        <v>36607.543243905267</v>
      </c>
      <c r="H76" s="253">
        <f t="shared" ref="H76:K76" si="13">H70+H75</f>
        <v>42897.636600892183</v>
      </c>
      <c r="I76" s="253">
        <f t="shared" si="13"/>
        <v>51496.642814996405</v>
      </c>
      <c r="J76" s="253">
        <f t="shared" si="13"/>
        <v>61999.346781450382</v>
      </c>
      <c r="K76" s="253">
        <f t="shared" si="13"/>
        <v>76329.223404082353</v>
      </c>
    </row>
    <row r="77" spans="1:11" x14ac:dyDescent="0.15">
      <c r="A77" s="279" t="s">
        <v>158</v>
      </c>
      <c r="B77" s="254"/>
      <c r="C77" s="254"/>
      <c r="D77" s="254"/>
      <c r="E77" s="254"/>
      <c r="F77" s="254"/>
      <c r="G77" s="254"/>
      <c r="H77" s="254"/>
      <c r="I77" s="254"/>
      <c r="J77" s="254"/>
      <c r="K77" s="254"/>
    </row>
    <row r="78" spans="1:11" x14ac:dyDescent="0.15">
      <c r="A78" s="252" t="s">
        <v>159</v>
      </c>
      <c r="B78" s="253">
        <v>-1286.49</v>
      </c>
      <c r="C78" s="253">
        <v>897.39</v>
      </c>
      <c r="D78" s="253">
        <v>23650.03</v>
      </c>
      <c r="E78" s="253">
        <v>30201.72</v>
      </c>
      <c r="F78" s="253">
        <v>30385.98</v>
      </c>
      <c r="G78" s="253">
        <f>G76-G77</f>
        <v>36607.543243905267</v>
      </c>
      <c r="H78" s="253">
        <f t="shared" ref="H78:K78" si="14">H76-H77</f>
        <v>42897.636600892183</v>
      </c>
      <c r="I78" s="253">
        <f t="shared" si="14"/>
        <v>51496.642814996405</v>
      </c>
      <c r="J78" s="253">
        <f t="shared" si="14"/>
        <v>61999.346781450382</v>
      </c>
      <c r="K78" s="253">
        <f t="shared" si="14"/>
        <v>76329.223404082353</v>
      </c>
    </row>
    <row r="79" spans="1:11" x14ac:dyDescent="0.15">
      <c r="A79" s="252" t="s">
        <v>160</v>
      </c>
      <c r="B79" s="254" t="s">
        <v>161</v>
      </c>
      <c r="C79" s="254" t="s">
        <v>161</v>
      </c>
      <c r="D79" s="254" t="s">
        <v>161</v>
      </c>
      <c r="E79" s="254" t="s">
        <v>161</v>
      </c>
      <c r="F79" s="254" t="s">
        <v>161</v>
      </c>
      <c r="G79" s="254"/>
      <c r="H79" s="254"/>
      <c r="I79" s="254"/>
      <c r="J79" s="254"/>
      <c r="K79" s="254"/>
    </row>
    <row r="80" spans="1:11" x14ac:dyDescent="0.15">
      <c r="A80" s="252" t="s">
        <v>162</v>
      </c>
      <c r="B80" s="253"/>
      <c r="C80" s="253">
        <v>0.03</v>
      </c>
      <c r="D80" s="253">
        <v>0.67010000000000003</v>
      </c>
      <c r="E80" s="253">
        <v>0.83889999999999998</v>
      </c>
      <c r="F80" s="253">
        <v>0.84409999999999996</v>
      </c>
      <c r="G80" s="253">
        <f>G78/资产负债假设!J33</f>
        <v>0.91290631530935828</v>
      </c>
      <c r="H80" s="253">
        <f>H78/资产负债假设!K33</f>
        <v>1.0697664987753661</v>
      </c>
      <c r="I80" s="253">
        <f>I78/资产负债假设!L33</f>
        <v>1.2842055564837009</v>
      </c>
      <c r="J80" s="253">
        <f>J78/资产负债假设!M33</f>
        <v>1.5461183736022539</v>
      </c>
      <c r="K80" s="253">
        <f>K78/资产负债假设!N33</f>
        <v>1.9034719053387121</v>
      </c>
    </row>
    <row r="81" spans="1:11" x14ac:dyDescent="0.15">
      <c r="A81" s="252" t="s">
        <v>163</v>
      </c>
      <c r="B81" s="254"/>
      <c r="C81" s="254">
        <v>0.03</v>
      </c>
      <c r="D81" s="254">
        <v>0.67010000000000003</v>
      </c>
      <c r="E81" s="254">
        <v>0.83889999999999998</v>
      </c>
      <c r="F81" s="254">
        <v>0.84409999999999996</v>
      </c>
      <c r="G81" s="254">
        <f>G80</f>
        <v>0.91290631530935828</v>
      </c>
      <c r="H81" s="254">
        <f t="shared" ref="H81:K81" si="15">H80</f>
        <v>1.0697664987753661</v>
      </c>
      <c r="I81" s="254">
        <f t="shared" si="15"/>
        <v>1.2842055564837009</v>
      </c>
      <c r="J81" s="254">
        <f t="shared" si="15"/>
        <v>1.5461183736022539</v>
      </c>
      <c r="K81" s="254">
        <f t="shared" si="15"/>
        <v>1.9034719053387121</v>
      </c>
    </row>
    <row r="82" spans="1:11" x14ac:dyDescent="0.15">
      <c r="B82" s="254"/>
      <c r="C82" s="254"/>
      <c r="D82" s="254"/>
      <c r="E82" s="254"/>
      <c r="F82" s="254"/>
      <c r="G82" s="254"/>
      <c r="H82" s="254"/>
      <c r="I82" s="254"/>
      <c r="J82" s="254"/>
      <c r="K82" s="254"/>
    </row>
    <row r="84" spans="1:11" x14ac:dyDescent="0.15">
      <c r="A84" s="255" t="s">
        <v>164</v>
      </c>
      <c r="B84" s="280">
        <f>B32/B5</f>
        <v>2.5785509945290973E-3</v>
      </c>
      <c r="C84" s="280">
        <f>C32/C5</f>
        <v>2.8198361087426616E-3</v>
      </c>
      <c r="D84" s="280">
        <f>D32/D5</f>
        <v>3.3661367018607336E-3</v>
      </c>
      <c r="E84" s="280">
        <f>E32/E5</f>
        <v>5.582869686085087E-3</v>
      </c>
      <c r="F84" s="280">
        <f>F32/F5</f>
        <v>4.5920915755901844E-3</v>
      </c>
      <c r="G84" s="281">
        <f>AVERAGE(B84:F84)</f>
        <v>3.7878970133615525E-3</v>
      </c>
      <c r="H84" s="281">
        <f>G84</f>
        <v>3.7878970133615525E-3</v>
      </c>
      <c r="I84" s="281">
        <f t="shared" ref="I84:K84" si="16">H84</f>
        <v>3.7878970133615525E-3</v>
      </c>
      <c r="J84" s="281">
        <f t="shared" si="16"/>
        <v>3.7878970133615525E-3</v>
      </c>
      <c r="K84" s="281">
        <f t="shared" si="16"/>
        <v>3.7878970133615525E-3</v>
      </c>
    </row>
    <row r="85" spans="1:11" x14ac:dyDescent="0.15">
      <c r="A85" s="255" t="s">
        <v>165</v>
      </c>
      <c r="B85" s="280">
        <f>B33/B5</f>
        <v>0.25350353774643641</v>
      </c>
      <c r="C85" s="280">
        <f>C33/C5</f>
        <v>0.24348570919531565</v>
      </c>
      <c r="D85" s="280">
        <f>D33/D5</f>
        <v>0.20751443429462779</v>
      </c>
      <c r="E85" s="280">
        <f>E33/E5</f>
        <v>0.19361522711534393</v>
      </c>
      <c r="F85" s="280">
        <f>F33/F5</f>
        <v>0.20863847412867029</v>
      </c>
      <c r="G85" s="281">
        <f>F85-0.25%</f>
        <v>0.20613847412867028</v>
      </c>
      <c r="H85" s="281">
        <f>G85-0.25%</f>
        <v>0.20363847412867028</v>
      </c>
      <c r="I85" s="281">
        <f>H85-0.25%</f>
        <v>0.20113847412867028</v>
      </c>
      <c r="J85" s="281">
        <f>I85-0.25%</f>
        <v>0.19863847412867028</v>
      </c>
      <c r="K85" s="281">
        <f>J85-0.25%</f>
        <v>0.19613847412867028</v>
      </c>
    </row>
    <row r="86" spans="1:11" x14ac:dyDescent="0.15">
      <c r="A86" s="282" t="s">
        <v>166</v>
      </c>
      <c r="B86" s="280">
        <f>B34/B5</f>
        <v>1.7973705443113677E-2</v>
      </c>
      <c r="C86" s="280">
        <f>C34/C5</f>
        <v>1.9011611003483985E-2</v>
      </c>
      <c r="D86" s="280">
        <f>D34/D5</f>
        <v>2.2558117376454662E-2</v>
      </c>
      <c r="E86" s="280">
        <f>E34/E5</f>
        <v>1.8302661995547646E-2</v>
      </c>
      <c r="F86" s="280">
        <f>F34/F5</f>
        <v>1.620682666189794E-2</v>
      </c>
      <c r="G86" s="281">
        <v>1.7000000000000001E-2</v>
      </c>
      <c r="H86" s="281">
        <f>G86+0.1%</f>
        <v>1.8000000000000002E-2</v>
      </c>
      <c r="I86" s="281">
        <f>H86+0.1%</f>
        <v>1.9000000000000003E-2</v>
      </c>
      <c r="J86" s="281">
        <f t="shared" ref="J86:K86" si="17">I86+0.1%</f>
        <v>2.0000000000000004E-2</v>
      </c>
      <c r="K86" s="281">
        <f t="shared" si="17"/>
        <v>2.1000000000000005E-2</v>
      </c>
    </row>
    <row r="87" spans="1:11" x14ac:dyDescent="0.15">
      <c r="A87" s="282" t="s">
        <v>167</v>
      </c>
      <c r="B87" s="280">
        <f>B35/B5</f>
        <v>0</v>
      </c>
      <c r="C87" s="280">
        <f>C35/C5</f>
        <v>0</v>
      </c>
      <c r="D87" s="280">
        <f>D35/D5</f>
        <v>2.6778687624983148E-3</v>
      </c>
      <c r="E87" s="280">
        <f>E35/E5</f>
        <v>3.0187498561895635E-3</v>
      </c>
      <c r="F87" s="280">
        <f>F35/F5</f>
        <v>4.8731875700151134E-3</v>
      </c>
      <c r="G87" s="281">
        <f>F87+0.1%</f>
        <v>5.8731875700151134E-3</v>
      </c>
      <c r="H87" s="281">
        <f>G87+0.1%</f>
        <v>6.8731875700151135E-3</v>
      </c>
      <c r="I87" s="281">
        <f>H87+0.1%</f>
        <v>7.8731875700151135E-3</v>
      </c>
      <c r="J87" s="281">
        <f>I87+0.1%</f>
        <v>8.8731875700151126E-3</v>
      </c>
      <c r="K87" s="281">
        <f>J87+0.1%</f>
        <v>9.8731875700151135E-3</v>
      </c>
    </row>
    <row r="88" spans="1:11" x14ac:dyDescent="0.15">
      <c r="A88" s="282" t="s">
        <v>168</v>
      </c>
      <c r="B88" s="280">
        <f>B36/B5</f>
        <v>-1.1434626463280094E-3</v>
      </c>
      <c r="C88" s="280">
        <f>C36/C5</f>
        <v>-1.0219954166833898E-4</v>
      </c>
      <c r="D88" s="280">
        <f>D36/D5</f>
        <v>2.6648902540491023E-4</v>
      </c>
      <c r="E88" s="280">
        <f>E36/E5</f>
        <v>-1.2298830579440741E-4</v>
      </c>
      <c r="F88" s="280">
        <f>F36/F5</f>
        <v>-1.2998547242195481E-3</v>
      </c>
      <c r="G88" s="281">
        <f>AVERAGE(D88:F88)</f>
        <v>-3.8545133486968171E-4</v>
      </c>
      <c r="H88" s="281">
        <f>G88</f>
        <v>-3.8545133486968171E-4</v>
      </c>
      <c r="I88" s="281">
        <f t="shared" ref="I88:K88" si="18">H88</f>
        <v>-3.8545133486968171E-4</v>
      </c>
      <c r="J88" s="281">
        <f t="shared" si="18"/>
        <v>-3.8545133486968171E-4</v>
      </c>
      <c r="K88" s="281">
        <f t="shared" si="18"/>
        <v>-3.8545133486968171E-4</v>
      </c>
    </row>
    <row r="89" spans="1:11" x14ac:dyDescent="0.15">
      <c r="A89" s="282" t="s">
        <v>169</v>
      </c>
      <c r="B89" s="280">
        <f>B53/B5</f>
        <v>2.7031625704036473E-4</v>
      </c>
      <c r="C89" s="280">
        <f>C53/C5</f>
        <v>3.768363368316771E-4</v>
      </c>
      <c r="D89" s="280">
        <f>D53/D5</f>
        <v>4.2835861074970509E-4</v>
      </c>
      <c r="E89" s="280">
        <f>E53/E5</f>
        <v>1.2004277998150081E-3</v>
      </c>
      <c r="F89" s="280">
        <f>F53/F5</f>
        <v>1.1164995778560917E-3</v>
      </c>
      <c r="G89" s="281">
        <v>1E-3</v>
      </c>
      <c r="H89" s="281">
        <v>1E-3</v>
      </c>
      <c r="I89" s="281">
        <v>1E-3</v>
      </c>
      <c r="J89" s="281">
        <v>1E-3</v>
      </c>
      <c r="K89" s="281">
        <v>1E-3</v>
      </c>
    </row>
    <row r="90" spans="1:11" x14ac:dyDescent="0.15">
      <c r="A90" s="282" t="s">
        <v>170</v>
      </c>
      <c r="B90" s="280">
        <f>B66/B65</f>
        <v>9.2359249329758711E-2</v>
      </c>
      <c r="C90" s="280">
        <f>C66/C65</f>
        <v>0.41983721125686096</v>
      </c>
      <c r="D90" s="280">
        <f>D66/D65</f>
        <v>0.2512121482680385</v>
      </c>
      <c r="E90" s="280">
        <f>E66/E65</f>
        <v>0.25671648843644701</v>
      </c>
      <c r="F90" s="280">
        <f>F66/F65</f>
        <v>0.24380592880831042</v>
      </c>
      <c r="G90" s="281">
        <f>AVERAGE(D90:F90)</f>
        <v>0.25057818850426533</v>
      </c>
      <c r="H90" s="281">
        <f>G90</f>
        <v>0.25057818850426533</v>
      </c>
      <c r="I90" s="281">
        <f t="shared" ref="I90:K90" si="19">H90</f>
        <v>0.25057818850426533</v>
      </c>
      <c r="J90" s="281">
        <f t="shared" si="19"/>
        <v>0.25057818850426533</v>
      </c>
      <c r="K90" s="281">
        <f t="shared" si="19"/>
        <v>0.25057818850426533</v>
      </c>
    </row>
    <row r="91" spans="1:11" x14ac:dyDescent="0.15">
      <c r="A91" s="282" t="s">
        <v>171</v>
      </c>
      <c r="C91" s="280">
        <f t="shared" ref="C91:K91" si="20">C6/B6-1</f>
        <v>1.2099754811580699</v>
      </c>
      <c r="D91" s="280">
        <f t="shared" si="20"/>
        <v>1.1647391023865157</v>
      </c>
      <c r="E91" s="280">
        <f t="shared" si="20"/>
        <v>0.25583724244952677</v>
      </c>
      <c r="F91" s="280">
        <f t="shared" si="20"/>
        <v>0.26052066741869973</v>
      </c>
      <c r="G91" s="280">
        <f t="shared" si="20"/>
        <v>0.19965894279018492</v>
      </c>
      <c r="H91" s="280">
        <f t="shared" si="20"/>
        <v>0.13627574741715565</v>
      </c>
      <c r="I91" s="280">
        <f t="shared" si="20"/>
        <v>0.16876132405923205</v>
      </c>
      <c r="J91" s="280">
        <f t="shared" si="20"/>
        <v>0.19759279438831379</v>
      </c>
      <c r="K91" s="280">
        <f t="shared" si="20"/>
        <v>0.23989341125576602</v>
      </c>
    </row>
    <row r="92" spans="1:11" x14ac:dyDescent="0.15">
      <c r="A92" s="282" t="s">
        <v>172</v>
      </c>
      <c r="C92" s="280">
        <f t="shared" ref="C92:K92" si="21">C74/B74-1</f>
        <v>-1.6975491453489728</v>
      </c>
      <c r="D92" s="280">
        <f t="shared" si="21"/>
        <v>25.354238402478298</v>
      </c>
      <c r="E92" s="280">
        <f t="shared" si="21"/>
        <v>0.27702670990269374</v>
      </c>
      <c r="F92" s="280">
        <f t="shared" si="21"/>
        <v>6.1009770304472077E-3</v>
      </c>
      <c r="G92" s="280">
        <f t="shared" si="21"/>
        <v>0.20475111363547494</v>
      </c>
      <c r="H92" s="280">
        <f t="shared" si="21"/>
        <v>0.17182506116506868</v>
      </c>
      <c r="I92" s="280">
        <f t="shared" si="21"/>
        <v>0.20045407848705077</v>
      </c>
      <c r="J92" s="280">
        <f t="shared" si="21"/>
        <v>0.20394929440711951</v>
      </c>
      <c r="K92" s="280">
        <f t="shared" si="21"/>
        <v>0.23112947743054835</v>
      </c>
    </row>
    <row r="93" spans="1:11" x14ac:dyDescent="0.15">
      <c r="A93" s="282" t="s">
        <v>173</v>
      </c>
      <c r="B93" s="280">
        <f t="shared" ref="B93:K93" si="22">(B5-B12)/B5</f>
        <v>0.24150329155203831</v>
      </c>
      <c r="C93" s="280">
        <f t="shared" si="22"/>
        <v>0.26902125339319127</v>
      </c>
      <c r="D93" s="280">
        <f t="shared" si="22"/>
        <v>0.30195209881248453</v>
      </c>
      <c r="E93" s="280">
        <f t="shared" si="22"/>
        <v>0.28919944821443344</v>
      </c>
      <c r="F93" s="280">
        <f t="shared" si="22"/>
        <v>0.28249011914727923</v>
      </c>
      <c r="G93" s="280">
        <f t="shared" si="22"/>
        <v>0.28133017898085833</v>
      </c>
      <c r="H93" s="280">
        <f t="shared" si="22"/>
        <v>0.2829138276250277</v>
      </c>
      <c r="I93" s="280">
        <f t="shared" si="22"/>
        <v>0.28450867006650771</v>
      </c>
      <c r="J93" s="280">
        <f t="shared" si="22"/>
        <v>0.28494504798757453</v>
      </c>
      <c r="K93" s="280">
        <f t="shared" si="22"/>
        <v>0.28478202495825383</v>
      </c>
    </row>
    <row r="94" spans="1:11" x14ac:dyDescent="0.15">
      <c r="A94" s="282" t="s">
        <v>174</v>
      </c>
      <c r="B94" s="280">
        <f>B93-B85</f>
        <v>-1.2000246194398101E-2</v>
      </c>
      <c r="C94" s="280">
        <f t="shared" ref="C94:F94" si="23">C93-C85</f>
        <v>2.5535544197875626E-2</v>
      </c>
      <c r="D94" s="280">
        <f t="shared" si="23"/>
        <v>9.4437664517856734E-2</v>
      </c>
      <c r="E94" s="280">
        <f t="shared" si="23"/>
        <v>9.5584221099089511E-2</v>
      </c>
      <c r="F94" s="280">
        <f t="shared" si="23"/>
        <v>7.3851645018608941E-2</v>
      </c>
      <c r="G94" s="280">
        <f t="shared" ref="G94" si="24">G93-G85</f>
        <v>7.519170485218804E-2</v>
      </c>
      <c r="H94" s="280">
        <f t="shared" ref="H94" si="25">H93-H85</f>
        <v>7.927535349635742E-2</v>
      </c>
      <c r="I94" s="280">
        <f t="shared" ref="I94" si="26">I93-I85</f>
        <v>8.3370195937837427E-2</v>
      </c>
      <c r="J94" s="280">
        <f t="shared" ref="J94" si="27">J93-J85</f>
        <v>8.6306573858904251E-2</v>
      </c>
      <c r="K94" s="280">
        <f t="shared" ref="K94" si="28">K93-K85</f>
        <v>8.8643550829583556E-2</v>
      </c>
    </row>
    <row r="95" spans="1:11" x14ac:dyDescent="0.15">
      <c r="A95" s="282" t="s">
        <v>175</v>
      </c>
      <c r="B95" s="280">
        <f t="shared" ref="B95:K95" si="29">B74/B5</f>
        <v>-1.3915932833927924E-2</v>
      </c>
      <c r="C95" s="280">
        <f t="shared" si="29"/>
        <v>4.3923777154095175E-3</v>
      </c>
      <c r="D95" s="280">
        <f t="shared" si="29"/>
        <v>5.3474235919708887E-2</v>
      </c>
      <c r="E95" s="280">
        <f t="shared" si="29"/>
        <v>5.4376495020891084E-2</v>
      </c>
      <c r="F95" s="280">
        <f t="shared" si="29"/>
        <v>4.3401307239207411E-2</v>
      </c>
      <c r="G95" s="280">
        <f t="shared" si="29"/>
        <v>4.3585531991333165E-2</v>
      </c>
      <c r="H95" s="280">
        <f t="shared" si="29"/>
        <v>4.4949140917380899E-2</v>
      </c>
      <c r="I95" s="280">
        <f t="shared" si="29"/>
        <v>4.6168005757884274E-2</v>
      </c>
      <c r="J95" s="280">
        <f t="shared" si="29"/>
        <v>4.641305309855244E-2</v>
      </c>
      <c r="K95" s="280">
        <f t="shared" si="29"/>
        <v>4.6084991894025137E-2</v>
      </c>
    </row>
  </sheetData>
  <phoneticPr fontId="5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7"/>
  <sheetViews>
    <sheetView workbookViewId="0">
      <pane ySplit="2" topLeftCell="A3" activePane="bottomLeft" state="frozen"/>
      <selection pane="bottomLeft" activeCell="L10" sqref="L10"/>
    </sheetView>
  </sheetViews>
  <sheetFormatPr defaultColWidth="9" defaultRowHeight="13.5" x14ac:dyDescent="0.15"/>
  <cols>
    <col min="1" max="1" width="46.375" style="68" customWidth="1"/>
    <col min="2" max="4" width="11.625" style="68" customWidth="1"/>
    <col min="5" max="5" width="11.625" style="68" hidden="1" customWidth="1"/>
    <col min="6" max="7" width="11.625" style="68" customWidth="1"/>
    <col min="8" max="10" width="11.625" style="68" hidden="1" customWidth="1"/>
    <col min="11" max="16384" width="9" style="68"/>
  </cols>
  <sheetData>
    <row r="1" spans="1:10" x14ac:dyDescent="0.15">
      <c r="A1" s="273" t="s">
        <v>22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x14ac:dyDescent="0.15">
      <c r="A2" s="261"/>
      <c r="B2" s="262" t="s">
        <v>78</v>
      </c>
      <c r="C2" s="262" t="s">
        <v>79</v>
      </c>
      <c r="D2" s="262" t="s">
        <v>80</v>
      </c>
      <c r="E2" s="262" t="s">
        <v>176</v>
      </c>
      <c r="F2" s="262" t="s">
        <v>81</v>
      </c>
      <c r="G2" s="262" t="s">
        <v>82</v>
      </c>
      <c r="H2" s="262" t="s">
        <v>177</v>
      </c>
      <c r="I2" s="262" t="s">
        <v>178</v>
      </c>
      <c r="J2" s="262" t="s">
        <v>179</v>
      </c>
    </row>
    <row r="3" spans="1:10" x14ac:dyDescent="0.15">
      <c r="A3" s="263" t="s">
        <v>83</v>
      </c>
      <c r="B3" s="264" t="s">
        <v>84</v>
      </c>
      <c r="C3" s="264" t="s">
        <v>84</v>
      </c>
      <c r="D3" s="264" t="s">
        <v>84</v>
      </c>
      <c r="E3" s="264" t="s">
        <v>180</v>
      </c>
      <c r="F3" s="264" t="s">
        <v>84</v>
      </c>
      <c r="G3" s="264" t="s">
        <v>84</v>
      </c>
      <c r="H3" s="264" t="s">
        <v>181</v>
      </c>
      <c r="I3" s="264" t="s">
        <v>180</v>
      </c>
      <c r="J3" s="264" t="s">
        <v>182</v>
      </c>
    </row>
    <row r="4" spans="1:10" x14ac:dyDescent="0.15">
      <c r="A4" s="263" t="s">
        <v>85</v>
      </c>
      <c r="B4" s="265" t="s">
        <v>86</v>
      </c>
      <c r="C4" s="265" t="s">
        <v>86</v>
      </c>
      <c r="D4" s="265" t="s">
        <v>86</v>
      </c>
      <c r="E4" s="265" t="s">
        <v>86</v>
      </c>
      <c r="F4" s="265" t="s">
        <v>86</v>
      </c>
      <c r="G4" s="265" t="s">
        <v>86</v>
      </c>
      <c r="H4" s="265" t="s">
        <v>86</v>
      </c>
      <c r="I4" s="265" t="s">
        <v>86</v>
      </c>
      <c r="J4" s="265" t="s">
        <v>86</v>
      </c>
    </row>
    <row r="5" spans="1:10" x14ac:dyDescent="0.15">
      <c r="A5" s="263" t="s">
        <v>183</v>
      </c>
      <c r="B5" s="264" t="s">
        <v>161</v>
      </c>
      <c r="C5" s="264" t="s">
        <v>161</v>
      </c>
      <c r="D5" s="264" t="s">
        <v>161</v>
      </c>
      <c r="E5" s="264" t="s">
        <v>161</v>
      </c>
      <c r="F5" s="264" t="s">
        <v>161</v>
      </c>
      <c r="G5" s="264" t="s">
        <v>161</v>
      </c>
      <c r="H5" s="264" t="s">
        <v>161</v>
      </c>
      <c r="I5" s="264" t="s">
        <v>161</v>
      </c>
      <c r="J5" s="264" t="s">
        <v>161</v>
      </c>
    </row>
    <row r="6" spans="1:10" x14ac:dyDescent="0.15">
      <c r="A6" s="263" t="s">
        <v>184</v>
      </c>
      <c r="B6" s="265">
        <v>11879.07</v>
      </c>
      <c r="C6" s="265">
        <v>11403.94</v>
      </c>
      <c r="D6" s="265">
        <v>41855.410000000003</v>
      </c>
      <c r="E6" s="265">
        <v>66586.13</v>
      </c>
      <c r="F6" s="265">
        <v>41800.74</v>
      </c>
      <c r="G6" s="265">
        <v>81679.8</v>
      </c>
      <c r="H6" s="265">
        <v>85573.91</v>
      </c>
      <c r="I6" s="265">
        <v>116871.25</v>
      </c>
      <c r="J6" s="265">
        <v>154454.54</v>
      </c>
    </row>
    <row r="7" spans="1:10" x14ac:dyDescent="0.15">
      <c r="A7" s="263" t="s">
        <v>185</v>
      </c>
      <c r="B7" s="264"/>
      <c r="C7" s="264"/>
      <c r="D7" s="264"/>
      <c r="E7" s="264"/>
      <c r="F7" s="264"/>
      <c r="G7" s="264"/>
      <c r="H7" s="264"/>
      <c r="I7" s="264"/>
      <c r="J7" s="264"/>
    </row>
    <row r="8" spans="1:10" x14ac:dyDescent="0.15">
      <c r="A8" s="263" t="s">
        <v>186</v>
      </c>
      <c r="B8" s="265"/>
      <c r="C8" s="265"/>
      <c r="D8" s="265"/>
      <c r="E8" s="265"/>
      <c r="F8" s="265"/>
      <c r="G8" s="265"/>
      <c r="H8" s="265"/>
      <c r="I8" s="265"/>
      <c r="J8" s="265"/>
    </row>
    <row r="9" spans="1:10" x14ac:dyDescent="0.15">
      <c r="A9" s="263" t="s">
        <v>187</v>
      </c>
      <c r="B9" s="264"/>
      <c r="C9" s="264"/>
      <c r="D9" s="264"/>
      <c r="E9" s="264"/>
      <c r="F9" s="264"/>
      <c r="G9" s="264"/>
      <c r="H9" s="264"/>
      <c r="I9" s="264"/>
      <c r="J9" s="264"/>
    </row>
    <row r="10" spans="1:10" x14ac:dyDescent="0.15">
      <c r="A10" s="263" t="s">
        <v>188</v>
      </c>
      <c r="B10" s="265">
        <v>4117.29</v>
      </c>
      <c r="C10" s="265">
        <v>6950.21</v>
      </c>
      <c r="D10" s="265">
        <v>19302.11</v>
      </c>
      <c r="E10" s="265">
        <v>7796.22</v>
      </c>
      <c r="F10" s="265">
        <v>14020.54</v>
      </c>
      <c r="G10" s="265">
        <v>30363.65</v>
      </c>
      <c r="H10" s="265">
        <v>19126.439999999999</v>
      </c>
      <c r="I10" s="265">
        <v>23491.86</v>
      </c>
      <c r="J10" s="265">
        <v>31686.95</v>
      </c>
    </row>
    <row r="11" spans="1:10" x14ac:dyDescent="0.15">
      <c r="A11" s="263" t="s">
        <v>189</v>
      </c>
      <c r="B11" s="264"/>
      <c r="C11" s="264"/>
      <c r="D11" s="264"/>
      <c r="E11" s="264"/>
      <c r="F11" s="264"/>
      <c r="G11" s="264"/>
      <c r="H11" s="264"/>
      <c r="I11" s="264"/>
      <c r="J11" s="264"/>
    </row>
    <row r="12" spans="1:10" x14ac:dyDescent="0.15">
      <c r="A12" s="263" t="s">
        <v>190</v>
      </c>
      <c r="B12" s="265">
        <v>318.66000000000003</v>
      </c>
      <c r="C12" s="265">
        <v>2627.93</v>
      </c>
      <c r="D12" s="265">
        <v>4906.0200000000004</v>
      </c>
      <c r="E12" s="265">
        <v>7091.18</v>
      </c>
      <c r="F12" s="265">
        <v>6857.96</v>
      </c>
      <c r="G12" s="265">
        <v>4803.8500000000004</v>
      </c>
      <c r="H12" s="265">
        <v>4434.42</v>
      </c>
      <c r="I12" s="265">
        <v>6541.4</v>
      </c>
      <c r="J12" s="265">
        <v>7311.33</v>
      </c>
    </row>
    <row r="13" spans="1:10" x14ac:dyDescent="0.15">
      <c r="A13" s="263" t="s">
        <v>191</v>
      </c>
      <c r="B13" s="264">
        <v>342.95</v>
      </c>
      <c r="C13" s="264">
        <v>453.04</v>
      </c>
      <c r="D13" s="264">
        <v>1063.1600000000001</v>
      </c>
      <c r="E13" s="264">
        <v>1557.24</v>
      </c>
      <c r="F13" s="264">
        <v>2040.95</v>
      </c>
      <c r="G13" s="264">
        <v>2659.42</v>
      </c>
      <c r="H13" s="264">
        <v>3235.16</v>
      </c>
      <c r="I13" s="264">
        <v>3147.72</v>
      </c>
      <c r="J13" s="264">
        <v>3353.76</v>
      </c>
    </row>
    <row r="14" spans="1:10" x14ac:dyDescent="0.15">
      <c r="A14" s="263" t="s">
        <v>192</v>
      </c>
      <c r="B14" s="265"/>
      <c r="C14" s="265"/>
      <c r="D14" s="265"/>
      <c r="E14" s="265"/>
      <c r="F14" s="265"/>
      <c r="G14" s="265"/>
      <c r="H14" s="265"/>
      <c r="I14" s="265"/>
      <c r="J14" s="265"/>
    </row>
    <row r="15" spans="1:10" x14ac:dyDescent="0.15">
      <c r="A15" s="263" t="s">
        <v>193</v>
      </c>
      <c r="B15" s="264"/>
      <c r="C15" s="264"/>
      <c r="D15" s="264"/>
      <c r="E15" s="264"/>
      <c r="F15" s="264"/>
      <c r="G15" s="264"/>
      <c r="H15" s="264"/>
      <c r="I15" s="264"/>
      <c r="J15" s="264"/>
    </row>
    <row r="16" spans="1:10" x14ac:dyDescent="0.15">
      <c r="A16" s="263" t="s">
        <v>194</v>
      </c>
      <c r="B16" s="265">
        <v>342.95</v>
      </c>
      <c r="C16" s="265">
        <v>453.04</v>
      </c>
      <c r="D16" s="265">
        <v>1063.1600000000001</v>
      </c>
      <c r="E16" s="265">
        <v>1557.24</v>
      </c>
      <c r="F16" s="265">
        <v>2040.95</v>
      </c>
      <c r="G16" s="265">
        <v>2659.42</v>
      </c>
      <c r="H16" s="265">
        <v>3235.16</v>
      </c>
      <c r="I16" s="265">
        <v>3147.72</v>
      </c>
      <c r="J16" s="265"/>
    </row>
    <row r="17" spans="1:10" x14ac:dyDescent="0.15">
      <c r="A17" s="263" t="s">
        <v>195</v>
      </c>
      <c r="B17" s="264"/>
      <c r="C17" s="264"/>
      <c r="D17" s="264"/>
      <c r="E17" s="264"/>
      <c r="F17" s="264"/>
      <c r="G17" s="264"/>
      <c r="H17" s="264"/>
      <c r="I17" s="264"/>
      <c r="J17" s="264"/>
    </row>
    <row r="18" spans="1:10" x14ac:dyDescent="0.15">
      <c r="A18" s="263" t="s">
        <v>196</v>
      </c>
      <c r="B18" s="265">
        <v>34858.720000000001</v>
      </c>
      <c r="C18" s="265">
        <v>65838.899999999994</v>
      </c>
      <c r="D18" s="265">
        <v>116800.08</v>
      </c>
      <c r="E18" s="265">
        <v>38145.72</v>
      </c>
      <c r="F18" s="265">
        <v>108754.53</v>
      </c>
      <c r="G18" s="265">
        <v>123971.6</v>
      </c>
      <c r="H18" s="265">
        <v>52229.55</v>
      </c>
      <c r="I18" s="265">
        <v>48542.07</v>
      </c>
      <c r="J18" s="265">
        <v>116501.32</v>
      </c>
    </row>
    <row r="19" spans="1:10" x14ac:dyDescent="0.15">
      <c r="A19" s="263" t="s">
        <v>197</v>
      </c>
      <c r="B19" s="264"/>
      <c r="C19" s="264"/>
      <c r="D19" s="264"/>
      <c r="E19" s="264"/>
      <c r="F19" s="264"/>
      <c r="G19" s="264"/>
      <c r="H19" s="264"/>
      <c r="I19" s="264"/>
      <c r="J19" s="264"/>
    </row>
    <row r="20" spans="1:10" x14ac:dyDescent="0.15">
      <c r="A20" s="263" t="s">
        <v>198</v>
      </c>
      <c r="B20" s="265"/>
      <c r="C20" s="265"/>
      <c r="D20" s="265"/>
      <c r="E20" s="265"/>
      <c r="F20" s="265"/>
      <c r="G20" s="265"/>
      <c r="H20" s="265"/>
      <c r="I20" s="265"/>
      <c r="J20" s="265"/>
    </row>
    <row r="21" spans="1:10" x14ac:dyDescent="0.15">
      <c r="A21" s="263" t="s">
        <v>199</v>
      </c>
      <c r="B21" s="264"/>
      <c r="C21" s="264"/>
      <c r="D21" s="264"/>
      <c r="E21" s="264"/>
      <c r="F21" s="264"/>
      <c r="G21" s="264"/>
      <c r="H21" s="264"/>
      <c r="I21" s="264"/>
      <c r="J21" s="264"/>
    </row>
    <row r="22" spans="1:10" x14ac:dyDescent="0.15">
      <c r="A22" s="263" t="s">
        <v>200</v>
      </c>
      <c r="B22" s="265">
        <v>51.05</v>
      </c>
      <c r="C22" s="265">
        <v>91.64</v>
      </c>
      <c r="D22" s="265"/>
      <c r="E22" s="265">
        <v>367.87</v>
      </c>
      <c r="F22" s="265"/>
      <c r="G22" s="265"/>
      <c r="H22" s="265"/>
      <c r="I22" s="265"/>
      <c r="J22" s="265"/>
    </row>
    <row r="23" spans="1:10" x14ac:dyDescent="0.15">
      <c r="A23" s="263" t="s">
        <v>201</v>
      </c>
      <c r="B23" s="264"/>
      <c r="C23" s="264"/>
      <c r="D23" s="264"/>
      <c r="E23" s="264"/>
      <c r="F23" s="264"/>
      <c r="G23" s="264"/>
      <c r="H23" s="264"/>
      <c r="I23" s="264"/>
      <c r="J23" s="264"/>
    </row>
    <row r="24" spans="1:10" x14ac:dyDescent="0.15">
      <c r="A24" s="263" t="s">
        <v>202</v>
      </c>
      <c r="B24" s="265">
        <v>5063.79</v>
      </c>
      <c r="C24" s="265">
        <v>6284.69</v>
      </c>
      <c r="D24" s="265">
        <v>5417.5</v>
      </c>
      <c r="E24" s="265">
        <v>816.34</v>
      </c>
      <c r="F24" s="265">
        <v>5408.88</v>
      </c>
      <c r="G24" s="265">
        <v>4349.9799999999996</v>
      </c>
      <c r="H24" s="265">
        <v>22736.720000000001</v>
      </c>
      <c r="I24" s="265">
        <v>2249.33</v>
      </c>
      <c r="J24" s="265">
        <v>5782.33</v>
      </c>
    </row>
    <row r="25" spans="1:10" x14ac:dyDescent="0.15">
      <c r="A25" s="263" t="s">
        <v>203</v>
      </c>
      <c r="B25" s="264"/>
      <c r="C25" s="264"/>
      <c r="D25" s="264"/>
      <c r="E25" s="264"/>
      <c r="F25" s="264"/>
      <c r="G25" s="264"/>
      <c r="H25" s="264"/>
      <c r="I25" s="264"/>
      <c r="J25" s="264"/>
    </row>
    <row r="26" spans="1:10" x14ac:dyDescent="0.15">
      <c r="A26" s="263" t="s">
        <v>204</v>
      </c>
      <c r="B26" s="265"/>
      <c r="C26" s="265"/>
      <c r="D26" s="265"/>
      <c r="E26" s="265"/>
      <c r="F26" s="265"/>
      <c r="G26" s="265"/>
      <c r="H26" s="265"/>
      <c r="I26" s="265"/>
      <c r="J26" s="265"/>
    </row>
    <row r="27" spans="1:10" x14ac:dyDescent="0.15">
      <c r="A27" s="263" t="s">
        <v>205</v>
      </c>
      <c r="B27" s="264"/>
      <c r="C27" s="264"/>
      <c r="D27" s="264"/>
      <c r="E27" s="264"/>
      <c r="F27" s="264"/>
      <c r="G27" s="264"/>
      <c r="H27" s="264"/>
      <c r="I27" s="264"/>
      <c r="J27" s="264"/>
    </row>
    <row r="28" spans="1:10" x14ac:dyDescent="0.15">
      <c r="A28" s="263" t="s">
        <v>206</v>
      </c>
      <c r="B28" s="265">
        <v>56631.519999999997</v>
      </c>
      <c r="C28" s="265">
        <v>93650.34</v>
      </c>
      <c r="D28" s="265">
        <v>189344.28</v>
      </c>
      <c r="E28" s="265">
        <v>122360.69</v>
      </c>
      <c r="F28" s="265">
        <v>178883.6</v>
      </c>
      <c r="G28" s="265">
        <v>247828.3</v>
      </c>
      <c r="H28" s="265">
        <v>187336.2</v>
      </c>
      <c r="I28" s="265">
        <v>200843.63</v>
      </c>
      <c r="J28" s="265">
        <v>319090.23</v>
      </c>
    </row>
    <row r="29" spans="1:10" x14ac:dyDescent="0.15">
      <c r="A29" s="263" t="s">
        <v>207</v>
      </c>
      <c r="B29" s="264" t="s">
        <v>161</v>
      </c>
      <c r="C29" s="264" t="s">
        <v>161</v>
      </c>
      <c r="D29" s="264" t="s">
        <v>161</v>
      </c>
      <c r="E29" s="264" t="s">
        <v>161</v>
      </c>
      <c r="F29" s="264" t="s">
        <v>161</v>
      </c>
      <c r="G29" s="264" t="s">
        <v>161</v>
      </c>
      <c r="H29" s="264" t="s">
        <v>161</v>
      </c>
      <c r="I29" s="264" t="s">
        <v>161</v>
      </c>
      <c r="J29" s="264" t="s">
        <v>161</v>
      </c>
    </row>
    <row r="30" spans="1:10" x14ac:dyDescent="0.15">
      <c r="A30" s="263" t="s">
        <v>208</v>
      </c>
      <c r="B30" s="265"/>
      <c r="C30" s="265"/>
      <c r="D30" s="265"/>
      <c r="E30" s="265"/>
      <c r="F30" s="265"/>
      <c r="G30" s="265"/>
      <c r="H30" s="265"/>
      <c r="I30" s="265"/>
      <c r="J30" s="265"/>
    </row>
    <row r="31" spans="1:10" x14ac:dyDescent="0.15">
      <c r="A31" s="263" t="s">
        <v>209</v>
      </c>
      <c r="B31" s="264"/>
      <c r="C31" s="264"/>
      <c r="D31" s="264"/>
      <c r="E31" s="264"/>
      <c r="F31" s="264"/>
      <c r="G31" s="264"/>
      <c r="H31" s="264"/>
      <c r="I31" s="264"/>
      <c r="J31" s="264"/>
    </row>
    <row r="32" spans="1:10" x14ac:dyDescent="0.15">
      <c r="A32" s="263" t="s">
        <v>210</v>
      </c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x14ac:dyDescent="0.15">
      <c r="A33" s="263" t="s">
        <v>211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x14ac:dyDescent="0.15">
      <c r="A34" s="263" t="s">
        <v>212</v>
      </c>
      <c r="B34" s="265"/>
      <c r="C34" s="265"/>
      <c r="D34" s="265"/>
      <c r="E34" s="265"/>
      <c r="F34" s="265"/>
      <c r="G34" s="265"/>
      <c r="H34" s="265"/>
      <c r="I34" s="265"/>
      <c r="J34" s="265"/>
    </row>
    <row r="35" spans="1:10" x14ac:dyDescent="0.15">
      <c r="A35" s="263" t="s">
        <v>213</v>
      </c>
      <c r="B35" s="264"/>
      <c r="C35" s="264"/>
      <c r="D35" s="264"/>
      <c r="E35" s="264"/>
      <c r="F35" s="264"/>
      <c r="G35" s="264"/>
      <c r="H35" s="264"/>
      <c r="I35" s="264"/>
      <c r="J35" s="264"/>
    </row>
    <row r="36" spans="1:10" x14ac:dyDescent="0.15">
      <c r="A36" s="263" t="s">
        <v>214</v>
      </c>
      <c r="B36" s="265"/>
      <c r="C36" s="265"/>
      <c r="D36" s="265"/>
      <c r="E36" s="265"/>
      <c r="F36" s="265"/>
      <c r="G36" s="265"/>
      <c r="H36" s="265"/>
      <c r="I36" s="265"/>
      <c r="J36" s="265"/>
    </row>
    <row r="37" spans="1:10" x14ac:dyDescent="0.15">
      <c r="A37" s="263" t="s">
        <v>215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x14ac:dyDescent="0.15">
      <c r="A38" s="263" t="s">
        <v>216</v>
      </c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x14ac:dyDescent="0.15">
      <c r="A39" s="263" t="s">
        <v>217</v>
      </c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x14ac:dyDescent="0.15">
      <c r="A40" s="263" t="s">
        <v>218</v>
      </c>
      <c r="B40" s="265"/>
      <c r="C40" s="265"/>
      <c r="D40" s="265">
        <v>200</v>
      </c>
      <c r="E40" s="265">
        <v>398.97</v>
      </c>
      <c r="F40" s="265">
        <v>395.38</v>
      </c>
      <c r="G40" s="265">
        <v>404.27</v>
      </c>
      <c r="H40" s="265">
        <v>425.59</v>
      </c>
      <c r="I40" s="265">
        <v>459.09</v>
      </c>
      <c r="J40" s="265">
        <v>496.05</v>
      </c>
    </row>
    <row r="41" spans="1:10" x14ac:dyDescent="0.15">
      <c r="A41" s="263" t="s">
        <v>219</v>
      </c>
      <c r="B41" s="264"/>
      <c r="C41" s="264"/>
      <c r="D41" s="264"/>
      <c r="E41" s="264"/>
      <c r="F41" s="264"/>
      <c r="G41" s="264"/>
      <c r="H41" s="264"/>
      <c r="I41" s="264"/>
      <c r="J41" s="264"/>
    </row>
    <row r="42" spans="1:10" x14ac:dyDescent="0.15">
      <c r="A42" s="263" t="s">
        <v>220</v>
      </c>
      <c r="B42" s="265">
        <v>4716.78</v>
      </c>
      <c r="C42" s="265">
        <v>8852.86</v>
      </c>
      <c r="D42" s="265">
        <v>17201.59</v>
      </c>
      <c r="E42" s="265">
        <v>19764.37</v>
      </c>
      <c r="F42" s="265">
        <v>26610.48</v>
      </c>
      <c r="G42" s="265">
        <v>25531.35</v>
      </c>
      <c r="H42" s="265">
        <v>24475.279999999999</v>
      </c>
      <c r="I42" s="265">
        <v>23841.15</v>
      </c>
      <c r="J42" s="265">
        <v>35030.61</v>
      </c>
    </row>
    <row r="43" spans="1:10" x14ac:dyDescent="0.15">
      <c r="A43" s="263" t="s">
        <v>221</v>
      </c>
      <c r="B43" s="264">
        <v>4716.78</v>
      </c>
      <c r="C43" s="264">
        <v>8852.86</v>
      </c>
      <c r="D43" s="264">
        <v>17201.59</v>
      </c>
      <c r="E43" s="264">
        <v>19764.37</v>
      </c>
      <c r="F43" s="264">
        <v>26610.48</v>
      </c>
      <c r="G43" s="264">
        <v>25531.35</v>
      </c>
      <c r="H43" s="264">
        <v>24475.279999999999</v>
      </c>
      <c r="I43" s="264">
        <v>23841.15</v>
      </c>
      <c r="J43" s="264">
        <v>35030.61</v>
      </c>
    </row>
    <row r="44" spans="1:10" x14ac:dyDescent="0.15">
      <c r="A44" s="263" t="s">
        <v>222</v>
      </c>
      <c r="B44" s="265"/>
      <c r="C44" s="265"/>
      <c r="D44" s="265"/>
      <c r="E44" s="265"/>
      <c r="F44" s="265"/>
      <c r="G44" s="265"/>
      <c r="H44" s="265"/>
      <c r="I44" s="265"/>
      <c r="J44" s="265"/>
    </row>
    <row r="45" spans="1:10" x14ac:dyDescent="0.15">
      <c r="A45" s="263" t="s">
        <v>223</v>
      </c>
      <c r="B45" s="264">
        <v>845.27</v>
      </c>
      <c r="C45" s="264">
        <v>2452.9499999999998</v>
      </c>
      <c r="D45" s="264">
        <v>1207.3599999999999</v>
      </c>
      <c r="E45" s="264">
        <v>950.77</v>
      </c>
      <c r="F45" s="264">
        <v>1921.73</v>
      </c>
      <c r="G45" s="264">
        <v>18824.55</v>
      </c>
      <c r="H45" s="264">
        <v>21221.19</v>
      </c>
      <c r="I45" s="264">
        <v>25488.61</v>
      </c>
      <c r="J45" s="264">
        <v>13526.02</v>
      </c>
    </row>
    <row r="46" spans="1:10" x14ac:dyDescent="0.15">
      <c r="A46" s="263" t="s">
        <v>224</v>
      </c>
      <c r="B46" s="265">
        <v>845.27</v>
      </c>
      <c r="C46" s="265">
        <v>2452.9499999999998</v>
      </c>
      <c r="D46" s="265">
        <v>1207.3599999999999</v>
      </c>
      <c r="E46" s="265">
        <v>950.77</v>
      </c>
      <c r="F46" s="265">
        <v>1921.73</v>
      </c>
      <c r="G46" s="265">
        <v>18824.55</v>
      </c>
      <c r="H46" s="265">
        <v>21221.19</v>
      </c>
      <c r="I46" s="265">
        <v>25488.61</v>
      </c>
      <c r="J46" s="265">
        <v>13526.02</v>
      </c>
    </row>
    <row r="47" spans="1:10" x14ac:dyDescent="0.15">
      <c r="A47" s="263" t="s">
        <v>225</v>
      </c>
      <c r="B47" s="264"/>
      <c r="C47" s="264"/>
      <c r="D47" s="264"/>
      <c r="E47" s="264"/>
      <c r="F47" s="264"/>
      <c r="G47" s="264"/>
      <c r="H47" s="264"/>
      <c r="I47" s="264"/>
      <c r="J47" s="264"/>
    </row>
    <row r="48" spans="1:10" x14ac:dyDescent="0.15">
      <c r="A48" s="263" t="s">
        <v>226</v>
      </c>
      <c r="B48" s="265"/>
      <c r="C48" s="265"/>
      <c r="D48" s="265"/>
      <c r="E48" s="265"/>
      <c r="F48" s="265"/>
      <c r="G48" s="265"/>
      <c r="H48" s="265"/>
      <c r="I48" s="265"/>
      <c r="J48" s="265"/>
    </row>
    <row r="49" spans="1:10" x14ac:dyDescent="0.15">
      <c r="A49" s="263" t="s">
        <v>227</v>
      </c>
      <c r="B49" s="264"/>
      <c r="C49" s="264"/>
      <c r="D49" s="264"/>
      <c r="E49" s="264"/>
      <c r="F49" s="264"/>
      <c r="G49" s="264"/>
      <c r="H49" s="264"/>
      <c r="I49" s="264"/>
      <c r="J49" s="264"/>
    </row>
    <row r="50" spans="1:10" x14ac:dyDescent="0.15">
      <c r="A50" s="263" t="s">
        <v>228</v>
      </c>
      <c r="B50" s="265"/>
      <c r="C50" s="265"/>
      <c r="D50" s="265"/>
      <c r="E50" s="265"/>
      <c r="F50" s="265"/>
      <c r="G50" s="265"/>
      <c r="H50" s="265"/>
      <c r="I50" s="265"/>
      <c r="J50" s="265"/>
    </row>
    <row r="51" spans="1:10" x14ac:dyDescent="0.15">
      <c r="A51" s="263" t="s">
        <v>229</v>
      </c>
      <c r="B51" s="264">
        <v>1115.8599999999999</v>
      </c>
      <c r="C51" s="264">
        <v>1931.4</v>
      </c>
      <c r="D51" s="264">
        <v>4067.57</v>
      </c>
      <c r="E51" s="264">
        <v>6558.14</v>
      </c>
      <c r="F51" s="264">
        <v>6446.3</v>
      </c>
      <c r="G51" s="264">
        <v>11407.37</v>
      </c>
      <c r="H51" s="264">
        <v>11333.24</v>
      </c>
      <c r="I51" s="264">
        <v>11288.48</v>
      </c>
      <c r="J51" s="264">
        <v>11224.52</v>
      </c>
    </row>
    <row r="52" spans="1:10" x14ac:dyDescent="0.15">
      <c r="A52" s="263" t="s">
        <v>230</v>
      </c>
      <c r="B52" s="265"/>
      <c r="C52" s="265"/>
      <c r="D52" s="265"/>
      <c r="E52" s="265"/>
      <c r="F52" s="265"/>
      <c r="G52" s="265"/>
      <c r="H52" s="265"/>
      <c r="I52" s="265"/>
      <c r="J52" s="265"/>
    </row>
    <row r="53" spans="1:10" x14ac:dyDescent="0.15">
      <c r="A53" s="263" t="s">
        <v>231</v>
      </c>
      <c r="B53" s="264"/>
      <c r="C53" s="264"/>
      <c r="D53" s="264"/>
      <c r="E53" s="264"/>
      <c r="F53" s="264"/>
      <c r="G53" s="264"/>
      <c r="H53" s="264"/>
      <c r="I53" s="264"/>
      <c r="J53" s="264"/>
    </row>
    <row r="54" spans="1:10" x14ac:dyDescent="0.15">
      <c r="A54" s="263" t="s">
        <v>232</v>
      </c>
      <c r="B54" s="265">
        <v>69.23</v>
      </c>
      <c r="C54" s="265">
        <v>135.84</v>
      </c>
      <c r="D54" s="265">
        <v>574.09</v>
      </c>
      <c r="E54" s="265">
        <v>221.64</v>
      </c>
      <c r="F54" s="265">
        <v>2981.23</v>
      </c>
      <c r="G54" s="265">
        <v>2936.48</v>
      </c>
      <c r="H54" s="265">
        <v>2870.72</v>
      </c>
      <c r="I54" s="265">
        <v>3339.63</v>
      </c>
      <c r="J54" s="265">
        <v>3794.45</v>
      </c>
    </row>
    <row r="55" spans="1:10" x14ac:dyDescent="0.15">
      <c r="A55" s="263" t="s">
        <v>233</v>
      </c>
      <c r="B55" s="264">
        <v>248.34</v>
      </c>
      <c r="C55" s="264">
        <v>164.84</v>
      </c>
      <c r="D55" s="264">
        <v>229.36</v>
      </c>
      <c r="E55" s="264">
        <v>347.9</v>
      </c>
      <c r="F55" s="264">
        <v>724.15</v>
      </c>
      <c r="G55" s="264">
        <v>1171.17</v>
      </c>
      <c r="H55" s="264">
        <v>1141.76</v>
      </c>
      <c r="I55" s="264">
        <v>1206.97</v>
      </c>
      <c r="J55" s="264">
        <v>1168.8699999999999</v>
      </c>
    </row>
    <row r="56" spans="1:10" x14ac:dyDescent="0.15">
      <c r="A56" s="263" t="s">
        <v>234</v>
      </c>
      <c r="B56" s="265">
        <v>1568.58</v>
      </c>
      <c r="C56" s="265">
        <v>465.55</v>
      </c>
      <c r="D56" s="265">
        <v>380.33</v>
      </c>
      <c r="E56" s="265">
        <v>399.43</v>
      </c>
      <c r="F56" s="265">
        <v>256.88</v>
      </c>
      <c r="G56" s="265">
        <v>1545.93</v>
      </c>
      <c r="H56" s="265">
        <v>1774.43</v>
      </c>
      <c r="I56" s="265">
        <v>1575.96</v>
      </c>
      <c r="J56" s="265">
        <v>1845.61</v>
      </c>
    </row>
    <row r="57" spans="1:10" x14ac:dyDescent="0.15">
      <c r="A57" s="263" t="s">
        <v>235</v>
      </c>
      <c r="B57" s="264"/>
      <c r="C57" s="264"/>
      <c r="D57" s="264"/>
      <c r="E57" s="264"/>
      <c r="F57" s="264"/>
      <c r="G57" s="264"/>
      <c r="H57" s="264"/>
      <c r="I57" s="264"/>
      <c r="J57" s="264"/>
    </row>
    <row r="58" spans="1:10" x14ac:dyDescent="0.15">
      <c r="A58" s="263" t="s">
        <v>236</v>
      </c>
      <c r="B58" s="265"/>
      <c r="C58" s="265"/>
      <c r="D58" s="265"/>
      <c r="E58" s="265"/>
      <c r="F58" s="265"/>
      <c r="G58" s="265"/>
      <c r="H58" s="265"/>
      <c r="I58" s="265"/>
      <c r="J58" s="265"/>
    </row>
    <row r="59" spans="1:10" x14ac:dyDescent="0.15">
      <c r="A59" s="263" t="s">
        <v>237</v>
      </c>
      <c r="B59" s="264">
        <v>8564.06</v>
      </c>
      <c r="C59" s="264">
        <v>14003.44</v>
      </c>
      <c r="D59" s="264">
        <v>23860.31</v>
      </c>
      <c r="E59" s="264">
        <v>28641.21</v>
      </c>
      <c r="F59" s="264">
        <v>39336.15</v>
      </c>
      <c r="G59" s="264">
        <v>61821.1</v>
      </c>
      <c r="H59" s="264">
        <v>63242.22</v>
      </c>
      <c r="I59" s="264">
        <v>67199.89</v>
      </c>
      <c r="J59" s="264">
        <v>67086.13</v>
      </c>
    </row>
    <row r="60" spans="1:10" x14ac:dyDescent="0.15">
      <c r="A60" s="263" t="s">
        <v>238</v>
      </c>
      <c r="B60" s="265"/>
      <c r="C60" s="265"/>
      <c r="D60" s="265"/>
      <c r="E60" s="265"/>
      <c r="F60" s="265"/>
      <c r="G60" s="265"/>
      <c r="H60" s="265"/>
      <c r="I60" s="265"/>
      <c r="J60" s="265"/>
    </row>
    <row r="61" spans="1:10" x14ac:dyDescent="0.15">
      <c r="A61" s="263" t="s">
        <v>239</v>
      </c>
      <c r="B61" s="264"/>
      <c r="C61" s="264"/>
      <c r="D61" s="264"/>
      <c r="E61" s="264"/>
      <c r="F61" s="264"/>
      <c r="G61" s="264"/>
      <c r="H61" s="264"/>
      <c r="I61" s="264"/>
      <c r="J61" s="264"/>
    </row>
    <row r="62" spans="1:10" x14ac:dyDescent="0.15">
      <c r="A62" s="263" t="s">
        <v>240</v>
      </c>
      <c r="B62" s="265">
        <v>65195.58</v>
      </c>
      <c r="C62" s="265">
        <v>107653.78</v>
      </c>
      <c r="D62" s="265">
        <v>213204.59</v>
      </c>
      <c r="E62" s="265">
        <v>151001.9</v>
      </c>
      <c r="F62" s="265">
        <v>218219.75</v>
      </c>
      <c r="G62" s="265">
        <v>309649.40000000002</v>
      </c>
      <c r="H62" s="265">
        <v>250578.42</v>
      </c>
      <c r="I62" s="265">
        <v>268043.52000000002</v>
      </c>
      <c r="J62" s="265">
        <v>386176.36</v>
      </c>
    </row>
    <row r="63" spans="1:10" x14ac:dyDescent="0.15">
      <c r="A63" s="263" t="s">
        <v>241</v>
      </c>
      <c r="B63" s="264" t="s">
        <v>161</v>
      </c>
      <c r="C63" s="264" t="s">
        <v>161</v>
      </c>
      <c r="D63" s="264" t="s">
        <v>161</v>
      </c>
      <c r="E63" s="264" t="s">
        <v>161</v>
      </c>
      <c r="F63" s="264" t="s">
        <v>161</v>
      </c>
      <c r="G63" s="264" t="s">
        <v>161</v>
      </c>
      <c r="H63" s="264" t="s">
        <v>161</v>
      </c>
      <c r="I63" s="264" t="s">
        <v>161</v>
      </c>
      <c r="J63" s="264" t="s">
        <v>161</v>
      </c>
    </row>
    <row r="64" spans="1:10" x14ac:dyDescent="0.15">
      <c r="A64" s="263" t="s">
        <v>242</v>
      </c>
      <c r="B64" s="265">
        <v>2186.37</v>
      </c>
      <c r="C64" s="265">
        <v>11500</v>
      </c>
      <c r="D64" s="265">
        <v>15800</v>
      </c>
      <c r="E64" s="265"/>
      <c r="F64" s="265"/>
      <c r="G64" s="265"/>
      <c r="H64" s="265"/>
      <c r="I64" s="265"/>
      <c r="J64" s="265"/>
    </row>
    <row r="65" spans="1:10" x14ac:dyDescent="0.15">
      <c r="A65" s="263" t="s">
        <v>243</v>
      </c>
      <c r="B65" s="264"/>
      <c r="C65" s="264"/>
      <c r="D65" s="264"/>
      <c r="E65" s="264"/>
      <c r="F65" s="264"/>
      <c r="G65" s="264"/>
      <c r="H65" s="264"/>
      <c r="I65" s="264"/>
      <c r="J65" s="264"/>
    </row>
    <row r="66" spans="1:10" x14ac:dyDescent="0.15">
      <c r="A66" s="263" t="s">
        <v>244</v>
      </c>
      <c r="B66" s="265"/>
      <c r="C66" s="265"/>
      <c r="D66" s="265"/>
      <c r="E66" s="265"/>
      <c r="F66" s="265"/>
      <c r="G66" s="265"/>
      <c r="H66" s="265"/>
      <c r="I66" s="265"/>
      <c r="J66" s="265"/>
    </row>
    <row r="67" spans="1:10" x14ac:dyDescent="0.15">
      <c r="A67" s="263" t="s">
        <v>245</v>
      </c>
      <c r="B67" s="264">
        <v>8137.11</v>
      </c>
      <c r="C67" s="264">
        <v>4300.34</v>
      </c>
      <c r="D67" s="264">
        <v>873.98</v>
      </c>
      <c r="E67" s="264"/>
      <c r="F67" s="264"/>
      <c r="G67" s="264"/>
      <c r="H67" s="264"/>
      <c r="I67" s="264"/>
      <c r="J67" s="264"/>
    </row>
    <row r="68" spans="1:10" x14ac:dyDescent="0.15">
      <c r="A68" s="263" t="s">
        <v>246</v>
      </c>
      <c r="B68" s="265">
        <v>37706.74</v>
      </c>
      <c r="C68" s="265">
        <v>53180.01</v>
      </c>
      <c r="D68" s="265">
        <v>88487.33</v>
      </c>
      <c r="E68" s="265">
        <v>34708.01</v>
      </c>
      <c r="F68" s="265">
        <v>89733.81</v>
      </c>
      <c r="G68" s="265">
        <v>133938.42000000001</v>
      </c>
      <c r="H68" s="265">
        <v>53931.72</v>
      </c>
      <c r="I68" s="265">
        <v>68582.84</v>
      </c>
      <c r="J68" s="265">
        <v>126246.95</v>
      </c>
    </row>
    <row r="69" spans="1:10" x14ac:dyDescent="0.15">
      <c r="A69" s="263" t="s">
        <v>247</v>
      </c>
      <c r="B69" s="264">
        <v>1.02</v>
      </c>
      <c r="C69" s="264">
        <v>295.67</v>
      </c>
      <c r="D69" s="264">
        <v>2391.59</v>
      </c>
      <c r="E69" s="264">
        <v>199.84</v>
      </c>
      <c r="F69" s="264">
        <v>987.02</v>
      </c>
      <c r="G69" s="264">
        <v>4970.1000000000004</v>
      </c>
      <c r="H69" s="264">
        <v>917.69</v>
      </c>
      <c r="I69" s="264">
        <v>1522.05</v>
      </c>
      <c r="J69" s="264">
        <v>2410.86</v>
      </c>
    </row>
    <row r="70" spans="1:10" x14ac:dyDescent="0.15">
      <c r="A70" s="263" t="s">
        <v>248</v>
      </c>
      <c r="B70" s="265"/>
      <c r="C70" s="265"/>
      <c r="D70" s="265"/>
      <c r="E70" s="265"/>
      <c r="F70" s="265"/>
      <c r="G70" s="265"/>
      <c r="H70" s="265"/>
      <c r="I70" s="265"/>
      <c r="J70" s="265"/>
    </row>
    <row r="71" spans="1:10" x14ac:dyDescent="0.15">
      <c r="A71" s="263" t="s">
        <v>249</v>
      </c>
      <c r="B71" s="264"/>
      <c r="C71" s="264"/>
      <c r="D71" s="264"/>
      <c r="E71" s="264"/>
      <c r="F71" s="264"/>
      <c r="G71" s="264"/>
      <c r="H71" s="264"/>
      <c r="I71" s="264"/>
      <c r="J71" s="264"/>
    </row>
    <row r="72" spans="1:10" x14ac:dyDescent="0.15">
      <c r="A72" s="263" t="s">
        <v>250</v>
      </c>
      <c r="B72" s="265">
        <v>694.52</v>
      </c>
      <c r="C72" s="265">
        <v>1583.9</v>
      </c>
      <c r="D72" s="265">
        <v>2824.45</v>
      </c>
      <c r="E72" s="265">
        <v>2062.3000000000002</v>
      </c>
      <c r="F72" s="265">
        <v>3585.8</v>
      </c>
      <c r="G72" s="265">
        <v>4559.9399999999996</v>
      </c>
      <c r="H72" s="265">
        <v>3968.19</v>
      </c>
      <c r="I72" s="265">
        <v>4829.57</v>
      </c>
      <c r="J72" s="265">
        <v>3608.44</v>
      </c>
    </row>
    <row r="73" spans="1:10" x14ac:dyDescent="0.15">
      <c r="A73" s="263" t="s">
        <v>251</v>
      </c>
      <c r="B73" s="264">
        <v>25.73</v>
      </c>
      <c r="C73" s="264">
        <v>65.33</v>
      </c>
      <c r="D73" s="264">
        <v>4339.3599999999997</v>
      </c>
      <c r="E73" s="264">
        <v>5514.51</v>
      </c>
      <c r="F73" s="264">
        <v>1158.21</v>
      </c>
      <c r="G73" s="264">
        <v>3321.25</v>
      </c>
      <c r="H73" s="264">
        <v>10380.33</v>
      </c>
      <c r="I73" s="264">
        <v>7344.64</v>
      </c>
      <c r="J73" s="264">
        <v>7221.31</v>
      </c>
    </row>
    <row r="74" spans="1:10" x14ac:dyDescent="0.15">
      <c r="A74" s="263" t="s">
        <v>252</v>
      </c>
      <c r="B74" s="265">
        <v>3339.66</v>
      </c>
      <c r="C74" s="265">
        <v>5809.35</v>
      </c>
      <c r="D74" s="265">
        <v>11846.64</v>
      </c>
      <c r="E74" s="265">
        <v>7612.62</v>
      </c>
      <c r="F74" s="265">
        <v>14343.28</v>
      </c>
      <c r="G74" s="265">
        <v>23165.13</v>
      </c>
      <c r="H74" s="265">
        <v>16947.36</v>
      </c>
      <c r="I74" s="265">
        <v>19511.7</v>
      </c>
      <c r="J74" s="265">
        <v>23079.24</v>
      </c>
    </row>
    <row r="75" spans="1:10" x14ac:dyDescent="0.15">
      <c r="A75" s="263" t="s">
        <v>253</v>
      </c>
      <c r="B75" s="264">
        <v>0.4</v>
      </c>
      <c r="C75" s="264">
        <v>14.38</v>
      </c>
      <c r="D75" s="264">
        <v>103.84</v>
      </c>
      <c r="E75" s="264">
        <v>235.53</v>
      </c>
      <c r="F75" s="264">
        <v>85.58</v>
      </c>
      <c r="G75" s="264">
        <v>85</v>
      </c>
      <c r="H75" s="264"/>
      <c r="I75" s="264">
        <v>235.83</v>
      </c>
      <c r="J75" s="264">
        <v>8.33</v>
      </c>
    </row>
    <row r="76" spans="1:10" x14ac:dyDescent="0.15">
      <c r="A76" s="263" t="s">
        <v>254</v>
      </c>
      <c r="B76" s="265"/>
      <c r="C76" s="265"/>
      <c r="D76" s="265"/>
      <c r="E76" s="265"/>
      <c r="F76" s="265"/>
      <c r="G76" s="265"/>
      <c r="H76" s="265"/>
      <c r="I76" s="265"/>
      <c r="J76" s="265"/>
    </row>
    <row r="77" spans="1:10" x14ac:dyDescent="0.15">
      <c r="A77" s="263" t="s">
        <v>255</v>
      </c>
      <c r="B77" s="264">
        <v>3339.26</v>
      </c>
      <c r="C77" s="264">
        <v>5794.97</v>
      </c>
      <c r="D77" s="264">
        <v>11742.8</v>
      </c>
      <c r="E77" s="264">
        <v>7377.1</v>
      </c>
      <c r="F77" s="264">
        <v>14257.7</v>
      </c>
      <c r="G77" s="264">
        <v>23080.13</v>
      </c>
      <c r="H77" s="264">
        <v>16947.36</v>
      </c>
      <c r="I77" s="264">
        <v>19275.86</v>
      </c>
      <c r="J77" s="264"/>
    </row>
    <row r="78" spans="1:10" x14ac:dyDescent="0.15">
      <c r="A78" s="263" t="s">
        <v>256</v>
      </c>
      <c r="B78" s="265"/>
      <c r="C78" s="265"/>
      <c r="D78" s="265"/>
      <c r="E78" s="265"/>
      <c r="F78" s="265"/>
      <c r="G78" s="265"/>
      <c r="H78" s="265"/>
      <c r="I78" s="265"/>
      <c r="J78" s="265"/>
    </row>
    <row r="79" spans="1:10" x14ac:dyDescent="0.15">
      <c r="A79" s="263" t="s">
        <v>257</v>
      </c>
      <c r="B79" s="264"/>
      <c r="C79" s="264"/>
      <c r="D79" s="264"/>
      <c r="E79" s="264"/>
      <c r="F79" s="264"/>
      <c r="G79" s="264"/>
      <c r="H79" s="264"/>
      <c r="I79" s="264"/>
      <c r="J79" s="264"/>
    </row>
    <row r="80" spans="1:10" x14ac:dyDescent="0.15">
      <c r="A80" s="263" t="s">
        <v>258</v>
      </c>
      <c r="B80" s="265"/>
      <c r="C80" s="265"/>
      <c r="D80" s="265"/>
      <c r="E80" s="265"/>
      <c r="F80" s="265"/>
      <c r="G80" s="265"/>
      <c r="H80" s="265"/>
      <c r="I80" s="265"/>
      <c r="J80" s="265"/>
    </row>
    <row r="81" spans="1:10" x14ac:dyDescent="0.15">
      <c r="A81" s="263" t="s">
        <v>259</v>
      </c>
      <c r="B81" s="264"/>
      <c r="C81" s="264"/>
      <c r="D81" s="264"/>
      <c r="E81" s="264"/>
      <c r="F81" s="264"/>
      <c r="G81" s="264"/>
      <c r="H81" s="264"/>
      <c r="I81" s="264"/>
      <c r="J81" s="264"/>
    </row>
    <row r="82" spans="1:10" x14ac:dyDescent="0.15">
      <c r="A82" s="263" t="s">
        <v>260</v>
      </c>
      <c r="B82" s="265"/>
      <c r="C82" s="265"/>
      <c r="D82" s="265"/>
      <c r="E82" s="265"/>
      <c r="F82" s="265"/>
      <c r="G82" s="265"/>
      <c r="H82" s="265"/>
      <c r="I82" s="265"/>
      <c r="J82" s="265"/>
    </row>
    <row r="83" spans="1:10" x14ac:dyDescent="0.15">
      <c r="A83" s="263" t="s">
        <v>261</v>
      </c>
      <c r="B83" s="264">
        <v>4.74</v>
      </c>
      <c r="C83" s="264">
        <v>4.74</v>
      </c>
      <c r="D83" s="264">
        <v>4.74</v>
      </c>
      <c r="E83" s="264">
        <v>35.83</v>
      </c>
      <c r="F83" s="264">
        <v>129.16</v>
      </c>
      <c r="G83" s="264">
        <v>214.95</v>
      </c>
      <c r="H83" s="264"/>
      <c r="I83" s="264"/>
      <c r="J83" s="264"/>
    </row>
    <row r="84" spans="1:10" x14ac:dyDescent="0.15">
      <c r="A84" s="263" t="s">
        <v>262</v>
      </c>
      <c r="B84" s="265"/>
      <c r="C84" s="265"/>
      <c r="D84" s="265"/>
      <c r="E84" s="265"/>
      <c r="F84" s="265"/>
      <c r="G84" s="265"/>
      <c r="H84" s="265"/>
      <c r="I84" s="265"/>
      <c r="J84" s="265"/>
    </row>
    <row r="85" spans="1:10" x14ac:dyDescent="0.15">
      <c r="A85" s="263" t="s">
        <v>263</v>
      </c>
      <c r="B85" s="264"/>
      <c r="C85" s="264"/>
      <c r="D85" s="264"/>
      <c r="E85" s="264"/>
      <c r="F85" s="264"/>
      <c r="G85" s="264"/>
      <c r="H85" s="264"/>
      <c r="I85" s="264"/>
      <c r="J85" s="264"/>
    </row>
    <row r="86" spans="1:10" x14ac:dyDescent="0.15">
      <c r="A86" s="263" t="s">
        <v>264</v>
      </c>
      <c r="B86" s="265"/>
      <c r="C86" s="265"/>
      <c r="D86" s="265"/>
      <c r="E86" s="265"/>
      <c r="F86" s="265"/>
      <c r="G86" s="265"/>
      <c r="H86" s="265"/>
      <c r="I86" s="265"/>
      <c r="J86" s="265"/>
    </row>
    <row r="87" spans="1:10" x14ac:dyDescent="0.15">
      <c r="A87" s="263" t="s">
        <v>265</v>
      </c>
      <c r="B87" s="264">
        <v>52095.89</v>
      </c>
      <c r="C87" s="264">
        <v>76739.34</v>
      </c>
      <c r="D87" s="264">
        <v>126568.08</v>
      </c>
      <c r="E87" s="264">
        <v>50133.11</v>
      </c>
      <c r="F87" s="264">
        <v>109937.27</v>
      </c>
      <c r="G87" s="264">
        <v>170169.79</v>
      </c>
      <c r="H87" s="264">
        <v>86145.29</v>
      </c>
      <c r="I87" s="264">
        <v>101790.8</v>
      </c>
      <c r="J87" s="264">
        <v>162566.79</v>
      </c>
    </row>
    <row r="88" spans="1:10" x14ac:dyDescent="0.15">
      <c r="A88" s="263" t="s">
        <v>266</v>
      </c>
      <c r="B88" s="265" t="s">
        <v>161</v>
      </c>
      <c r="C88" s="265" t="s">
        <v>161</v>
      </c>
      <c r="D88" s="265" t="s">
        <v>161</v>
      </c>
      <c r="E88" s="265" t="s">
        <v>161</v>
      </c>
      <c r="F88" s="265" t="s">
        <v>161</v>
      </c>
      <c r="G88" s="265" t="s">
        <v>161</v>
      </c>
      <c r="H88" s="265" t="s">
        <v>161</v>
      </c>
      <c r="I88" s="265" t="s">
        <v>161</v>
      </c>
      <c r="J88" s="265" t="s">
        <v>161</v>
      </c>
    </row>
    <row r="89" spans="1:10" x14ac:dyDescent="0.15">
      <c r="A89" s="263" t="s">
        <v>267</v>
      </c>
      <c r="B89" s="264"/>
      <c r="C89" s="264"/>
      <c r="D89" s="264">
        <v>25400</v>
      </c>
      <c r="E89" s="264">
        <v>25400</v>
      </c>
      <c r="F89" s="264">
        <v>25400</v>
      </c>
      <c r="G89" s="264">
        <v>25000</v>
      </c>
      <c r="H89" s="264">
        <v>25000</v>
      </c>
      <c r="I89" s="264">
        <v>25000</v>
      </c>
      <c r="J89" s="264">
        <v>25000</v>
      </c>
    </row>
    <row r="90" spans="1:10" x14ac:dyDescent="0.15">
      <c r="A90" s="263" t="s">
        <v>268</v>
      </c>
      <c r="B90" s="265"/>
      <c r="C90" s="265"/>
      <c r="D90" s="265"/>
      <c r="E90" s="265"/>
      <c r="F90" s="265"/>
      <c r="G90" s="265"/>
      <c r="H90" s="265"/>
      <c r="I90" s="265"/>
      <c r="J90" s="265"/>
    </row>
    <row r="91" spans="1:10" x14ac:dyDescent="0.15">
      <c r="A91" s="263" t="s">
        <v>269</v>
      </c>
      <c r="B91" s="264"/>
      <c r="C91" s="264"/>
      <c r="D91" s="264"/>
      <c r="E91" s="264"/>
      <c r="F91" s="264"/>
      <c r="G91" s="264"/>
      <c r="H91" s="264"/>
      <c r="I91" s="264"/>
      <c r="J91" s="264"/>
    </row>
    <row r="92" spans="1:10" x14ac:dyDescent="0.15">
      <c r="A92" s="263" t="s">
        <v>270</v>
      </c>
      <c r="B92" s="265"/>
      <c r="C92" s="265"/>
      <c r="D92" s="265"/>
      <c r="E92" s="265"/>
      <c r="F92" s="265"/>
      <c r="G92" s="265"/>
      <c r="H92" s="265"/>
      <c r="I92" s="265"/>
      <c r="J92" s="265"/>
    </row>
    <row r="93" spans="1:10" x14ac:dyDescent="0.15">
      <c r="A93" s="263" t="s">
        <v>271</v>
      </c>
      <c r="B93" s="264"/>
      <c r="C93" s="264"/>
      <c r="D93" s="264"/>
      <c r="E93" s="264"/>
      <c r="F93" s="264"/>
      <c r="G93" s="264"/>
      <c r="H93" s="264"/>
      <c r="I93" s="264"/>
      <c r="J93" s="264"/>
    </row>
    <row r="94" spans="1:10" x14ac:dyDescent="0.15">
      <c r="A94" s="263" t="s">
        <v>272</v>
      </c>
      <c r="B94" s="265"/>
      <c r="C94" s="265"/>
      <c r="D94" s="265"/>
      <c r="E94" s="265"/>
      <c r="F94" s="265"/>
      <c r="G94" s="265"/>
      <c r="H94" s="265"/>
      <c r="I94" s="265"/>
      <c r="J94" s="265"/>
    </row>
    <row r="95" spans="1:10" x14ac:dyDescent="0.15">
      <c r="A95" s="263" t="s">
        <v>273</v>
      </c>
      <c r="B95" s="264"/>
      <c r="C95" s="264"/>
      <c r="D95" s="264"/>
      <c r="E95" s="264"/>
      <c r="F95" s="264"/>
      <c r="G95" s="264"/>
      <c r="H95" s="264"/>
      <c r="I95" s="264"/>
      <c r="J95" s="264"/>
    </row>
    <row r="96" spans="1:10" x14ac:dyDescent="0.15">
      <c r="A96" s="263" t="s">
        <v>274</v>
      </c>
      <c r="B96" s="265">
        <v>17.600000000000001</v>
      </c>
      <c r="C96" s="265">
        <v>29.7</v>
      </c>
      <c r="D96" s="265">
        <v>82.48</v>
      </c>
      <c r="E96" s="265">
        <v>226.46</v>
      </c>
      <c r="F96" s="265">
        <v>175.97</v>
      </c>
      <c r="G96" s="265">
        <v>199.13</v>
      </c>
      <c r="H96" s="265">
        <v>126.97</v>
      </c>
      <c r="I96" s="265">
        <v>159.68</v>
      </c>
      <c r="J96" s="265">
        <v>147.22</v>
      </c>
    </row>
    <row r="97" spans="1:10" x14ac:dyDescent="0.15">
      <c r="A97" s="263" t="s">
        <v>275</v>
      </c>
      <c r="B97" s="264"/>
      <c r="C97" s="264"/>
      <c r="D97" s="264"/>
      <c r="E97" s="264">
        <v>0.32</v>
      </c>
      <c r="F97" s="264"/>
      <c r="G97" s="264"/>
      <c r="H97" s="264">
        <v>0.02</v>
      </c>
      <c r="I97" s="264"/>
      <c r="J97" s="264"/>
    </row>
    <row r="98" spans="1:10" x14ac:dyDescent="0.15">
      <c r="A98" s="263" t="s">
        <v>276</v>
      </c>
      <c r="B98" s="265">
        <v>219.23</v>
      </c>
      <c r="C98" s="265">
        <v>524.48</v>
      </c>
      <c r="D98" s="265">
        <v>563.74</v>
      </c>
      <c r="E98" s="265">
        <v>600.07000000000005</v>
      </c>
      <c r="F98" s="265">
        <v>1914.59</v>
      </c>
      <c r="G98" s="265">
        <v>3102.58</v>
      </c>
      <c r="H98" s="265">
        <v>3198.93</v>
      </c>
      <c r="I98" s="265">
        <v>3269.27</v>
      </c>
      <c r="J98" s="265">
        <v>3241.34</v>
      </c>
    </row>
    <row r="99" spans="1:10" x14ac:dyDescent="0.15">
      <c r="A99" s="263" t="s">
        <v>277</v>
      </c>
      <c r="B99" s="264"/>
      <c r="C99" s="264"/>
      <c r="D99" s="264"/>
      <c r="E99" s="264"/>
      <c r="F99" s="264"/>
      <c r="G99" s="264"/>
      <c r="H99" s="264"/>
      <c r="I99" s="264"/>
      <c r="J99" s="264"/>
    </row>
    <row r="100" spans="1:10" x14ac:dyDescent="0.15">
      <c r="A100" s="263" t="s">
        <v>278</v>
      </c>
      <c r="B100" s="265"/>
      <c r="C100" s="265"/>
      <c r="D100" s="265"/>
      <c r="E100" s="265"/>
      <c r="F100" s="265"/>
      <c r="G100" s="265"/>
      <c r="H100" s="265"/>
      <c r="I100" s="265"/>
      <c r="J100" s="265"/>
    </row>
    <row r="101" spans="1:10" x14ac:dyDescent="0.15">
      <c r="A101" s="263" t="s">
        <v>279</v>
      </c>
      <c r="B101" s="264"/>
      <c r="C101" s="264"/>
      <c r="D101" s="264"/>
      <c r="E101" s="264"/>
      <c r="F101" s="264"/>
      <c r="G101" s="264"/>
      <c r="H101" s="264"/>
      <c r="I101" s="264"/>
      <c r="J101" s="264"/>
    </row>
    <row r="102" spans="1:10" x14ac:dyDescent="0.15">
      <c r="A102" s="263" t="s">
        <v>280</v>
      </c>
      <c r="B102" s="265">
        <v>236.82</v>
      </c>
      <c r="C102" s="265">
        <v>554.19000000000005</v>
      </c>
      <c r="D102" s="265">
        <v>26046.22</v>
      </c>
      <c r="E102" s="265">
        <v>26226.84</v>
      </c>
      <c r="F102" s="265">
        <v>27490.560000000001</v>
      </c>
      <c r="G102" s="265">
        <v>28301.71</v>
      </c>
      <c r="H102" s="265">
        <v>28325.919999999998</v>
      </c>
      <c r="I102" s="265">
        <v>28428.95</v>
      </c>
      <c r="J102" s="265">
        <v>28388.560000000001</v>
      </c>
    </row>
    <row r="103" spans="1:10" x14ac:dyDescent="0.15">
      <c r="A103" s="263" t="s">
        <v>281</v>
      </c>
      <c r="B103" s="264"/>
      <c r="C103" s="264"/>
      <c r="D103" s="264"/>
      <c r="E103" s="264"/>
      <c r="F103" s="264"/>
      <c r="G103" s="264"/>
      <c r="H103" s="264"/>
      <c r="I103" s="264"/>
      <c r="J103" s="264"/>
    </row>
    <row r="104" spans="1:10" x14ac:dyDescent="0.15">
      <c r="A104" s="263" t="s">
        <v>282</v>
      </c>
      <c r="B104" s="265"/>
      <c r="C104" s="265"/>
      <c r="D104" s="265"/>
      <c r="E104" s="265"/>
      <c r="F104" s="265"/>
      <c r="G104" s="265"/>
      <c r="H104" s="265"/>
      <c r="I104" s="265"/>
      <c r="J104" s="265"/>
    </row>
    <row r="105" spans="1:10" x14ac:dyDescent="0.15">
      <c r="A105" s="263" t="s">
        <v>283</v>
      </c>
      <c r="B105" s="264">
        <v>52332.71</v>
      </c>
      <c r="C105" s="264">
        <v>77293.53</v>
      </c>
      <c r="D105" s="264">
        <v>152614.29999999999</v>
      </c>
      <c r="E105" s="264">
        <v>76359.960000000006</v>
      </c>
      <c r="F105" s="264">
        <v>137427.82999999999</v>
      </c>
      <c r="G105" s="264">
        <v>198471.5</v>
      </c>
      <c r="H105" s="264">
        <v>114471.21</v>
      </c>
      <c r="I105" s="264">
        <v>130219.75</v>
      </c>
      <c r="J105" s="264">
        <v>190955.35</v>
      </c>
    </row>
    <row r="106" spans="1:10" x14ac:dyDescent="0.15">
      <c r="A106" s="263" t="s">
        <v>284</v>
      </c>
      <c r="B106" s="265" t="s">
        <v>161</v>
      </c>
      <c r="C106" s="265" t="s">
        <v>161</v>
      </c>
      <c r="D106" s="265" t="s">
        <v>161</v>
      </c>
      <c r="E106" s="265" t="s">
        <v>161</v>
      </c>
      <c r="F106" s="265" t="s">
        <v>161</v>
      </c>
      <c r="G106" s="265" t="s">
        <v>161</v>
      </c>
      <c r="H106" s="265" t="s">
        <v>161</v>
      </c>
      <c r="I106" s="265" t="s">
        <v>161</v>
      </c>
      <c r="J106" s="265" t="s">
        <v>161</v>
      </c>
    </row>
    <row r="107" spans="1:10" x14ac:dyDescent="0.15">
      <c r="A107" s="263" t="s">
        <v>285</v>
      </c>
      <c r="B107" s="264">
        <v>5000</v>
      </c>
      <c r="C107" s="264">
        <v>30000</v>
      </c>
      <c r="D107" s="264">
        <v>30600</v>
      </c>
      <c r="E107" s="264">
        <v>36000</v>
      </c>
      <c r="F107" s="264">
        <v>36000</v>
      </c>
      <c r="G107" s="264">
        <v>36000</v>
      </c>
      <c r="H107" s="264">
        <v>36000</v>
      </c>
      <c r="I107" s="264">
        <v>36000</v>
      </c>
      <c r="J107" s="264">
        <v>40100</v>
      </c>
    </row>
    <row r="108" spans="1:10" x14ac:dyDescent="0.15">
      <c r="A108" s="263" t="s">
        <v>286</v>
      </c>
      <c r="B108" s="265"/>
      <c r="C108" s="265"/>
      <c r="D108" s="265"/>
      <c r="E108" s="265"/>
      <c r="F108" s="265"/>
      <c r="G108" s="265"/>
      <c r="H108" s="265"/>
      <c r="I108" s="265"/>
      <c r="J108" s="265"/>
    </row>
    <row r="109" spans="1:10" x14ac:dyDescent="0.15">
      <c r="A109" s="263" t="s">
        <v>287</v>
      </c>
      <c r="B109" s="264"/>
      <c r="C109" s="264"/>
      <c r="D109" s="264"/>
      <c r="E109" s="264"/>
      <c r="F109" s="264"/>
      <c r="G109" s="264"/>
      <c r="H109" s="264"/>
      <c r="I109" s="264"/>
      <c r="J109" s="264"/>
    </row>
    <row r="110" spans="1:10" x14ac:dyDescent="0.15">
      <c r="A110" s="263" t="s">
        <v>288</v>
      </c>
      <c r="B110" s="265"/>
      <c r="C110" s="265"/>
      <c r="D110" s="265"/>
      <c r="E110" s="265"/>
      <c r="F110" s="265"/>
      <c r="G110" s="265"/>
      <c r="H110" s="265"/>
      <c r="I110" s="265"/>
      <c r="J110" s="265"/>
    </row>
    <row r="111" spans="1:10" x14ac:dyDescent="0.15">
      <c r="A111" s="263" t="s">
        <v>289</v>
      </c>
      <c r="B111" s="264">
        <v>9874.99</v>
      </c>
      <c r="C111" s="264">
        <v>3134.37</v>
      </c>
      <c r="D111" s="264">
        <v>10414.370000000001</v>
      </c>
      <c r="E111" s="264">
        <v>5014.37</v>
      </c>
      <c r="F111" s="264">
        <v>5014.37</v>
      </c>
      <c r="G111" s="264">
        <v>5014.37</v>
      </c>
      <c r="H111" s="264">
        <v>5014.37</v>
      </c>
      <c r="I111" s="264">
        <v>5014.37</v>
      </c>
      <c r="J111" s="264">
        <v>55390.61</v>
      </c>
    </row>
    <row r="112" spans="1:10" x14ac:dyDescent="0.15">
      <c r="A112" s="263" t="s">
        <v>290</v>
      </c>
      <c r="B112" s="265"/>
      <c r="C112" s="265"/>
      <c r="D112" s="265"/>
      <c r="E112" s="265"/>
      <c r="F112" s="265"/>
      <c r="G112" s="265"/>
      <c r="H112" s="265"/>
      <c r="I112" s="265"/>
      <c r="J112" s="265"/>
    </row>
    <row r="113" spans="1:10" x14ac:dyDescent="0.15">
      <c r="A113" s="263" t="s">
        <v>291</v>
      </c>
      <c r="B113" s="264"/>
      <c r="C113" s="264"/>
      <c r="D113" s="264"/>
      <c r="E113" s="264"/>
      <c r="F113" s="264"/>
      <c r="G113" s="264"/>
      <c r="H113" s="264"/>
      <c r="I113" s="264"/>
      <c r="J113" s="264"/>
    </row>
    <row r="114" spans="1:10" x14ac:dyDescent="0.15">
      <c r="A114" s="263" t="s">
        <v>292</v>
      </c>
      <c r="B114" s="265"/>
      <c r="C114" s="265"/>
      <c r="D114" s="265"/>
      <c r="E114" s="265"/>
      <c r="F114" s="265"/>
      <c r="G114" s="265"/>
      <c r="H114" s="265"/>
      <c r="I114" s="265"/>
      <c r="J114" s="265"/>
    </row>
    <row r="115" spans="1:10" x14ac:dyDescent="0.15">
      <c r="A115" s="263" t="s">
        <v>293</v>
      </c>
      <c r="B115" s="264"/>
      <c r="C115" s="264"/>
      <c r="D115" s="264">
        <v>1974.78</v>
      </c>
      <c r="E115" s="264">
        <v>1974.78</v>
      </c>
      <c r="F115" s="264">
        <v>4901.79</v>
      </c>
      <c r="G115" s="264">
        <v>7699.46</v>
      </c>
      <c r="H115" s="264">
        <v>7699.46</v>
      </c>
      <c r="I115" s="264">
        <v>7699.46</v>
      </c>
      <c r="J115" s="264">
        <v>7699.46</v>
      </c>
    </row>
    <row r="116" spans="1:10" x14ac:dyDescent="0.15">
      <c r="A116" s="263" t="s">
        <v>294</v>
      </c>
      <c r="B116" s="265"/>
      <c r="C116" s="265"/>
      <c r="D116" s="265"/>
      <c r="E116" s="265"/>
      <c r="F116" s="265"/>
      <c r="G116" s="265"/>
      <c r="H116" s="265"/>
      <c r="I116" s="265"/>
      <c r="J116" s="265"/>
    </row>
    <row r="117" spans="1:10" x14ac:dyDescent="0.15">
      <c r="A117" s="263" t="s">
        <v>295</v>
      </c>
      <c r="B117" s="264">
        <v>-2012.12</v>
      </c>
      <c r="C117" s="264">
        <v>-2774.12</v>
      </c>
      <c r="D117" s="264">
        <v>17601.12</v>
      </c>
      <c r="E117" s="264">
        <v>31652.79</v>
      </c>
      <c r="F117" s="264">
        <v>34875.760000000002</v>
      </c>
      <c r="G117" s="264">
        <v>62464.07</v>
      </c>
      <c r="H117" s="264">
        <v>87393.37</v>
      </c>
      <c r="I117" s="264">
        <v>89109.93</v>
      </c>
      <c r="J117" s="264">
        <v>92030.93</v>
      </c>
    </row>
    <row r="118" spans="1:10" x14ac:dyDescent="0.15">
      <c r="A118" s="263" t="s">
        <v>296</v>
      </c>
      <c r="B118" s="265"/>
      <c r="C118" s="265"/>
      <c r="D118" s="265"/>
      <c r="E118" s="265"/>
      <c r="F118" s="265"/>
      <c r="G118" s="265"/>
      <c r="H118" s="265"/>
      <c r="I118" s="265"/>
      <c r="J118" s="265"/>
    </row>
    <row r="119" spans="1:10" x14ac:dyDescent="0.15">
      <c r="A119" s="263" t="s">
        <v>297</v>
      </c>
      <c r="B119" s="264"/>
      <c r="C119" s="264"/>
      <c r="D119" s="264"/>
      <c r="E119" s="264"/>
      <c r="F119" s="264"/>
      <c r="G119" s="264"/>
      <c r="H119" s="264"/>
      <c r="I119" s="264"/>
      <c r="J119" s="264"/>
    </row>
    <row r="120" spans="1:10" x14ac:dyDescent="0.15">
      <c r="A120" s="263" t="s">
        <v>298</v>
      </c>
      <c r="B120" s="265"/>
      <c r="C120" s="265"/>
      <c r="D120" s="265"/>
      <c r="E120" s="265"/>
      <c r="F120" s="265"/>
      <c r="G120" s="265"/>
      <c r="H120" s="265"/>
      <c r="I120" s="265"/>
      <c r="J120" s="265"/>
    </row>
    <row r="121" spans="1:10" x14ac:dyDescent="0.15">
      <c r="A121" s="263" t="s">
        <v>299</v>
      </c>
      <c r="B121" s="264"/>
      <c r="C121" s="264"/>
      <c r="D121" s="264"/>
      <c r="E121" s="264"/>
      <c r="F121" s="264"/>
      <c r="G121" s="264"/>
      <c r="H121" s="264"/>
      <c r="I121" s="264"/>
      <c r="J121" s="264"/>
    </row>
    <row r="122" spans="1:10" x14ac:dyDescent="0.15">
      <c r="A122" s="263" t="s">
        <v>300</v>
      </c>
      <c r="B122" s="265">
        <v>12862.87</v>
      </c>
      <c r="C122" s="265">
        <v>30360.25</v>
      </c>
      <c r="D122" s="265">
        <v>60590.28</v>
      </c>
      <c r="E122" s="265">
        <v>74641.95</v>
      </c>
      <c r="F122" s="265">
        <v>80791.92</v>
      </c>
      <c r="G122" s="265">
        <v>111177.91</v>
      </c>
      <c r="H122" s="265">
        <v>136107.21</v>
      </c>
      <c r="I122" s="265">
        <v>137823.76999999999</v>
      </c>
      <c r="J122" s="265">
        <v>195221.01</v>
      </c>
    </row>
    <row r="123" spans="1:10" x14ac:dyDescent="0.15">
      <c r="A123" s="263" t="s">
        <v>301</v>
      </c>
      <c r="B123" s="264"/>
      <c r="C123" s="264"/>
      <c r="D123" s="264"/>
      <c r="E123" s="264"/>
      <c r="F123" s="264"/>
      <c r="G123" s="264"/>
      <c r="H123" s="264"/>
      <c r="I123" s="264"/>
      <c r="J123" s="264"/>
    </row>
    <row r="124" spans="1:10" x14ac:dyDescent="0.15">
      <c r="A124" s="263" t="s">
        <v>302</v>
      </c>
      <c r="B124" s="265">
        <v>12862.87</v>
      </c>
      <c r="C124" s="265">
        <v>30360.25</v>
      </c>
      <c r="D124" s="265">
        <v>60590.28</v>
      </c>
      <c r="E124" s="265">
        <v>74641.95</v>
      </c>
      <c r="F124" s="265">
        <v>80791.92</v>
      </c>
      <c r="G124" s="265">
        <v>111177.91</v>
      </c>
      <c r="H124" s="265">
        <v>136107.21</v>
      </c>
      <c r="I124" s="265">
        <v>137823.76999999999</v>
      </c>
      <c r="J124" s="265">
        <v>195221.01</v>
      </c>
    </row>
    <row r="125" spans="1:10" x14ac:dyDescent="0.15">
      <c r="A125" s="263" t="s">
        <v>303</v>
      </c>
      <c r="B125" s="264"/>
      <c r="C125" s="264"/>
      <c r="D125" s="264"/>
      <c r="E125" s="264"/>
      <c r="F125" s="264"/>
      <c r="G125" s="264"/>
      <c r="H125" s="264"/>
      <c r="I125" s="264"/>
      <c r="J125" s="264"/>
    </row>
    <row r="126" spans="1:10" x14ac:dyDescent="0.15">
      <c r="A126" s="263" t="s">
        <v>304</v>
      </c>
      <c r="B126" s="265"/>
      <c r="C126" s="265"/>
      <c r="D126" s="265"/>
      <c r="E126" s="265"/>
      <c r="F126" s="265"/>
      <c r="G126" s="265"/>
      <c r="H126" s="265"/>
      <c r="I126" s="265"/>
      <c r="J126" s="265"/>
    </row>
    <row r="127" spans="1:10" x14ac:dyDescent="0.15">
      <c r="A127" s="263" t="s">
        <v>305</v>
      </c>
      <c r="B127" s="264">
        <v>65195.58</v>
      </c>
      <c r="C127" s="264">
        <v>107653.78</v>
      </c>
      <c r="D127" s="264">
        <v>213204.59</v>
      </c>
      <c r="E127" s="264">
        <v>151001.9</v>
      </c>
      <c r="F127" s="264">
        <v>218219.75</v>
      </c>
      <c r="G127" s="264">
        <v>309649.40000000002</v>
      </c>
      <c r="H127" s="264">
        <v>250578.42</v>
      </c>
      <c r="I127" s="264">
        <v>268043.52000000002</v>
      </c>
      <c r="J127" s="264">
        <v>386176.36</v>
      </c>
    </row>
  </sheetData>
  <phoneticPr fontId="5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17"/>
  <sheetViews>
    <sheetView workbookViewId="0">
      <pane xSplit="1" ySplit="4" topLeftCell="E5" activePane="bottomRight" state="frozen"/>
      <selection pane="topRight"/>
      <selection pane="bottomLeft"/>
      <selection pane="bottomRight" activeCell="A27" sqref="A27"/>
    </sheetView>
  </sheetViews>
  <sheetFormatPr defaultColWidth="9" defaultRowHeight="13.5" x14ac:dyDescent="0.15"/>
  <cols>
    <col min="1" max="1" width="46.375" style="68" customWidth="1"/>
    <col min="2" max="2" width="12.75" style="68" customWidth="1"/>
    <col min="3" max="13" width="11.625" style="68" customWidth="1"/>
    <col min="14" max="16384" width="9" style="68"/>
  </cols>
  <sheetData>
    <row r="1" spans="1:13" x14ac:dyDescent="0.15">
      <c r="A1" s="259" t="s">
        <v>306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3" x14ac:dyDescent="0.15">
      <c r="A2" s="261"/>
      <c r="B2" s="262" t="s">
        <v>78</v>
      </c>
      <c r="C2" s="262" t="s">
        <v>79</v>
      </c>
      <c r="D2" s="262" t="s">
        <v>80</v>
      </c>
      <c r="E2" s="262" t="s">
        <v>176</v>
      </c>
      <c r="F2" s="262" t="s">
        <v>81</v>
      </c>
      <c r="G2" s="262" t="s">
        <v>307</v>
      </c>
      <c r="H2" s="262" t="s">
        <v>308</v>
      </c>
      <c r="I2" s="262" t="s">
        <v>309</v>
      </c>
      <c r="J2" s="262" t="s">
        <v>82</v>
      </c>
      <c r="K2" s="262" t="s">
        <v>177</v>
      </c>
      <c r="L2" s="262" t="s">
        <v>178</v>
      </c>
      <c r="M2" s="262" t="s">
        <v>179</v>
      </c>
    </row>
    <row r="3" spans="1:13" x14ac:dyDescent="0.15">
      <c r="A3" s="263" t="s">
        <v>83</v>
      </c>
      <c r="B3" s="264" t="s">
        <v>84</v>
      </c>
      <c r="C3" s="264" t="s">
        <v>84</v>
      </c>
      <c r="D3" s="264" t="s">
        <v>84</v>
      </c>
      <c r="E3" s="264" t="s">
        <v>180</v>
      </c>
      <c r="F3" s="264" t="s">
        <v>84</v>
      </c>
      <c r="G3" s="264" t="s">
        <v>181</v>
      </c>
      <c r="H3" s="264" t="s">
        <v>180</v>
      </c>
      <c r="I3" s="264" t="s">
        <v>182</v>
      </c>
      <c r="J3" s="264" t="s">
        <v>84</v>
      </c>
      <c r="K3" s="264" t="s">
        <v>181</v>
      </c>
      <c r="L3" s="264" t="s">
        <v>180</v>
      </c>
      <c r="M3" s="264" t="s">
        <v>182</v>
      </c>
    </row>
    <row r="4" spans="1:13" x14ac:dyDescent="0.15">
      <c r="A4" s="263" t="s">
        <v>85</v>
      </c>
      <c r="B4" s="265" t="s">
        <v>86</v>
      </c>
      <c r="C4" s="265" t="s">
        <v>86</v>
      </c>
      <c r="D4" s="265" t="s">
        <v>86</v>
      </c>
      <c r="E4" s="265" t="s">
        <v>86</v>
      </c>
      <c r="F4" s="265" t="s">
        <v>86</v>
      </c>
      <c r="G4" s="265" t="s">
        <v>86</v>
      </c>
      <c r="H4" s="265" t="s">
        <v>86</v>
      </c>
      <c r="I4" s="265" t="s">
        <v>86</v>
      </c>
      <c r="J4" s="265" t="s">
        <v>86</v>
      </c>
      <c r="K4" s="265" t="s">
        <v>86</v>
      </c>
      <c r="L4" s="265" t="s">
        <v>86</v>
      </c>
      <c r="M4" s="265" t="s">
        <v>86</v>
      </c>
    </row>
    <row r="5" spans="1:13" x14ac:dyDescent="0.15">
      <c r="A5" s="263" t="s">
        <v>310</v>
      </c>
      <c r="B5" s="264" t="s">
        <v>161</v>
      </c>
      <c r="C5" s="264" t="s">
        <v>161</v>
      </c>
      <c r="D5" s="264" t="s">
        <v>161</v>
      </c>
      <c r="E5" s="264" t="s">
        <v>161</v>
      </c>
      <c r="F5" s="264" t="s">
        <v>161</v>
      </c>
      <c r="G5" s="264" t="s">
        <v>161</v>
      </c>
      <c r="H5" s="264" t="s">
        <v>161</v>
      </c>
      <c r="I5" s="264" t="s">
        <v>161</v>
      </c>
      <c r="J5" s="264" t="s">
        <v>161</v>
      </c>
      <c r="K5" s="264" t="s">
        <v>161</v>
      </c>
      <c r="L5" s="264" t="s">
        <v>161</v>
      </c>
      <c r="M5" s="264" t="s">
        <v>161</v>
      </c>
    </row>
    <row r="6" spans="1:13" x14ac:dyDescent="0.15">
      <c r="A6" s="263" t="s">
        <v>311</v>
      </c>
      <c r="B6" s="265">
        <v>104811.42</v>
      </c>
      <c r="C6" s="265">
        <v>235943.31</v>
      </c>
      <c r="D6" s="265">
        <v>506335.15</v>
      </c>
      <c r="E6" s="265">
        <v>347279.89</v>
      </c>
      <c r="F6" s="265">
        <v>652321.75</v>
      </c>
      <c r="G6" s="265">
        <v>263488.56</v>
      </c>
      <c r="H6" s="265">
        <v>384314.78</v>
      </c>
      <c r="I6" s="265">
        <v>536927.68000000005</v>
      </c>
      <c r="J6" s="265">
        <v>800867.49</v>
      </c>
      <c r="K6" s="265">
        <v>338808.2</v>
      </c>
      <c r="L6" s="265">
        <v>499919.57</v>
      </c>
      <c r="M6" s="265">
        <v>781912.18</v>
      </c>
    </row>
    <row r="7" spans="1:13" x14ac:dyDescent="0.15">
      <c r="A7" s="263" t="s">
        <v>312</v>
      </c>
      <c r="B7" s="264"/>
      <c r="C7" s="264">
        <v>164.91</v>
      </c>
      <c r="D7" s="264"/>
      <c r="E7" s="264">
        <v>455.98</v>
      </c>
      <c r="F7" s="264">
        <v>1000.17</v>
      </c>
      <c r="G7" s="264"/>
      <c r="H7" s="264">
        <v>627.49</v>
      </c>
      <c r="I7" s="264">
        <v>627.49</v>
      </c>
      <c r="J7" s="264">
        <v>741.15</v>
      </c>
      <c r="K7" s="264"/>
      <c r="L7" s="264">
        <v>0.33</v>
      </c>
      <c r="M7" s="264">
        <v>0.33</v>
      </c>
    </row>
    <row r="8" spans="1:13" x14ac:dyDescent="0.15">
      <c r="A8" s="263" t="s">
        <v>313</v>
      </c>
      <c r="B8" s="265">
        <v>1457.9</v>
      </c>
      <c r="C8" s="265">
        <v>965.8</v>
      </c>
      <c r="D8" s="265">
        <v>5735.67</v>
      </c>
      <c r="E8" s="265">
        <v>2250.65</v>
      </c>
      <c r="F8" s="265">
        <v>7839.14</v>
      </c>
      <c r="G8" s="265">
        <v>872.07</v>
      </c>
      <c r="H8" s="265">
        <v>1904.51</v>
      </c>
      <c r="I8" s="265">
        <v>8340.67</v>
      </c>
      <c r="J8" s="265">
        <v>8846.07</v>
      </c>
      <c r="K8" s="265">
        <v>1381.71</v>
      </c>
      <c r="L8" s="265">
        <v>4211.97</v>
      </c>
      <c r="M8" s="265">
        <v>7636.11</v>
      </c>
    </row>
    <row r="9" spans="1:13" x14ac:dyDescent="0.15">
      <c r="A9" s="263" t="s">
        <v>314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</row>
    <row r="10" spans="1:13" x14ac:dyDescent="0.15">
      <c r="A10" s="263" t="s">
        <v>315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</row>
    <row r="11" spans="1:13" x14ac:dyDescent="0.15">
      <c r="A11" s="263" t="s">
        <v>316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3" x14ac:dyDescent="0.15">
      <c r="A12" s="263" t="s">
        <v>317</v>
      </c>
      <c r="B12" s="265">
        <v>106269.32</v>
      </c>
      <c r="C12" s="265">
        <v>237074.02</v>
      </c>
      <c r="D12" s="265">
        <v>512070.82</v>
      </c>
      <c r="E12" s="265">
        <v>349986.52</v>
      </c>
      <c r="F12" s="265">
        <v>661161.06999999995</v>
      </c>
      <c r="G12" s="265">
        <v>264360.63</v>
      </c>
      <c r="H12" s="265">
        <v>386846.79</v>
      </c>
      <c r="I12" s="265">
        <v>545895.84</v>
      </c>
      <c r="J12" s="265">
        <v>810454.7</v>
      </c>
      <c r="K12" s="265">
        <v>340189.91</v>
      </c>
      <c r="L12" s="265">
        <v>504131.87</v>
      </c>
      <c r="M12" s="265">
        <v>789548.62</v>
      </c>
    </row>
    <row r="13" spans="1:13" x14ac:dyDescent="0.15">
      <c r="A13" s="263" t="s">
        <v>318</v>
      </c>
      <c r="B13" s="264">
        <v>76804.78</v>
      </c>
      <c r="C13" s="264">
        <v>193783.95</v>
      </c>
      <c r="D13" s="264">
        <v>384171.03</v>
      </c>
      <c r="E13" s="264">
        <v>199707.98</v>
      </c>
      <c r="F13" s="264">
        <v>448185.3</v>
      </c>
      <c r="G13" s="264">
        <v>170608.63</v>
      </c>
      <c r="H13" s="264">
        <v>231025</v>
      </c>
      <c r="I13" s="264">
        <v>353806.68</v>
      </c>
      <c r="J13" s="264">
        <v>554923.59</v>
      </c>
      <c r="K13" s="264">
        <v>220622.2</v>
      </c>
      <c r="L13" s="264">
        <v>347742.62</v>
      </c>
      <c r="M13" s="264">
        <v>569713.62</v>
      </c>
    </row>
    <row r="14" spans="1:13" x14ac:dyDescent="0.15">
      <c r="A14" s="263" t="s">
        <v>319</v>
      </c>
      <c r="B14" s="265">
        <v>5337.81</v>
      </c>
      <c r="C14" s="265">
        <v>11104.79</v>
      </c>
      <c r="D14" s="265">
        <v>18832.79</v>
      </c>
      <c r="E14" s="265">
        <v>11596.28</v>
      </c>
      <c r="F14" s="265">
        <v>23591.4</v>
      </c>
      <c r="G14" s="265">
        <v>7729.43</v>
      </c>
      <c r="H14" s="265">
        <v>13689.88</v>
      </c>
      <c r="I14" s="265">
        <v>20116.62</v>
      </c>
      <c r="J14" s="265">
        <v>26840.3</v>
      </c>
      <c r="K14" s="265">
        <v>8402.19</v>
      </c>
      <c r="L14" s="265">
        <v>14045.72</v>
      </c>
      <c r="M14" s="265">
        <v>25013.48</v>
      </c>
    </row>
    <row r="15" spans="1:13" x14ac:dyDescent="0.15">
      <c r="A15" s="263" t="s">
        <v>320</v>
      </c>
      <c r="B15" s="264">
        <v>2209.87</v>
      </c>
      <c r="C15" s="264">
        <v>4948.76</v>
      </c>
      <c r="D15" s="264">
        <v>14617.77</v>
      </c>
      <c r="E15" s="264">
        <v>25783.83</v>
      </c>
      <c r="F15" s="264">
        <v>39350.589999999997</v>
      </c>
      <c r="G15" s="264">
        <v>14040.43</v>
      </c>
      <c r="H15" s="264">
        <v>22223.62</v>
      </c>
      <c r="I15" s="264">
        <v>26978.36</v>
      </c>
      <c r="J15" s="264">
        <v>32423.040000000001</v>
      </c>
      <c r="K15" s="264">
        <v>21284.27</v>
      </c>
      <c r="L15" s="264">
        <v>28929.15</v>
      </c>
      <c r="M15" s="264">
        <v>40495.08</v>
      </c>
    </row>
    <row r="16" spans="1:13" x14ac:dyDescent="0.15">
      <c r="A16" s="263" t="s">
        <v>321</v>
      </c>
      <c r="B16" s="265">
        <v>21152.17</v>
      </c>
      <c r="C16" s="265">
        <v>45844.39</v>
      </c>
      <c r="D16" s="265">
        <v>83494.05</v>
      </c>
      <c r="E16" s="265">
        <v>54665.94</v>
      </c>
      <c r="F16" s="265">
        <v>105333.46</v>
      </c>
      <c r="G16" s="265">
        <v>37505.18</v>
      </c>
      <c r="H16" s="265">
        <v>57904.22</v>
      </c>
      <c r="I16" s="265">
        <v>87241.81</v>
      </c>
      <c r="J16" s="265">
        <v>132617.75</v>
      </c>
      <c r="K16" s="265">
        <v>58993.39</v>
      </c>
      <c r="L16" s="265">
        <v>68776.929999999993</v>
      </c>
      <c r="M16" s="265">
        <v>122203.59</v>
      </c>
    </row>
    <row r="17" spans="1:13" x14ac:dyDescent="0.15">
      <c r="A17" s="263" t="s">
        <v>322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</row>
    <row r="18" spans="1:13" x14ac:dyDescent="0.15">
      <c r="A18" s="263" t="s">
        <v>323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</row>
    <row r="19" spans="1:13" x14ac:dyDescent="0.15">
      <c r="A19" s="263" t="s">
        <v>324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</row>
    <row r="20" spans="1:13" x14ac:dyDescent="0.15">
      <c r="A20" s="263" t="s">
        <v>325</v>
      </c>
      <c r="B20" s="265">
        <v>105504.63</v>
      </c>
      <c r="C20" s="265">
        <v>255681.88</v>
      </c>
      <c r="D20" s="265">
        <v>501115.64</v>
      </c>
      <c r="E20" s="265">
        <v>291754.03000000003</v>
      </c>
      <c r="F20" s="265">
        <v>616460.75</v>
      </c>
      <c r="G20" s="265">
        <v>229883.68</v>
      </c>
      <c r="H20" s="265">
        <v>324842.71999999997</v>
      </c>
      <c r="I20" s="265">
        <v>488143.46</v>
      </c>
      <c r="J20" s="265">
        <v>746804.68</v>
      </c>
      <c r="K20" s="265">
        <v>309302.05</v>
      </c>
      <c r="L20" s="265">
        <v>459494.41</v>
      </c>
      <c r="M20" s="265">
        <v>757425.78</v>
      </c>
    </row>
    <row r="21" spans="1:13" x14ac:dyDescent="0.15">
      <c r="A21" s="263" t="s">
        <v>326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</row>
    <row r="22" spans="1:13" x14ac:dyDescent="0.15">
      <c r="A22" s="263" t="s">
        <v>327</v>
      </c>
      <c r="B22" s="265">
        <v>764.69</v>
      </c>
      <c r="C22" s="265">
        <v>-18607.86</v>
      </c>
      <c r="D22" s="265">
        <v>10955.18</v>
      </c>
      <c r="E22" s="265">
        <v>58232.49</v>
      </c>
      <c r="F22" s="265">
        <v>44700.32</v>
      </c>
      <c r="G22" s="265">
        <v>34476.949999999997</v>
      </c>
      <c r="H22" s="265">
        <v>62004.07</v>
      </c>
      <c r="I22" s="265">
        <v>57752.37</v>
      </c>
      <c r="J22" s="265">
        <v>63650.03</v>
      </c>
      <c r="K22" s="265">
        <v>30887.85</v>
      </c>
      <c r="L22" s="265">
        <v>44637.46</v>
      </c>
      <c r="M22" s="265">
        <v>32122.85</v>
      </c>
    </row>
    <row r="23" spans="1:13" x14ac:dyDescent="0.15">
      <c r="A23" s="263" t="s">
        <v>328</v>
      </c>
      <c r="B23" s="264" t="s">
        <v>161</v>
      </c>
      <c r="C23" s="264" t="s">
        <v>161</v>
      </c>
      <c r="D23" s="264" t="s">
        <v>161</v>
      </c>
      <c r="E23" s="264" t="s">
        <v>161</v>
      </c>
      <c r="F23" s="264" t="s">
        <v>161</v>
      </c>
      <c r="G23" s="264" t="s">
        <v>161</v>
      </c>
      <c r="H23" s="264" t="s">
        <v>161</v>
      </c>
      <c r="I23" s="264" t="s">
        <v>161</v>
      </c>
      <c r="J23" s="264" t="s">
        <v>161</v>
      </c>
      <c r="K23" s="264" t="s">
        <v>161</v>
      </c>
      <c r="L23" s="264" t="s">
        <v>161</v>
      </c>
      <c r="M23" s="264" t="s">
        <v>161</v>
      </c>
    </row>
    <row r="24" spans="1:13" x14ac:dyDescent="0.15">
      <c r="A24" s="263" t="s">
        <v>329</v>
      </c>
      <c r="B24" s="265">
        <v>36804.199999999997</v>
      </c>
      <c r="C24" s="265">
        <v>69349.81</v>
      </c>
      <c r="D24" s="265">
        <v>116933.21</v>
      </c>
      <c r="E24" s="265"/>
      <c r="F24" s="265">
        <v>232787.76</v>
      </c>
      <c r="G24" s="265">
        <v>20065.830000000002</v>
      </c>
      <c r="H24" s="265"/>
      <c r="I24" s="265">
        <v>140000</v>
      </c>
      <c r="J24" s="265">
        <v>155570.21</v>
      </c>
      <c r="K24" s="265">
        <v>20095.419999999998</v>
      </c>
      <c r="L24" s="265">
        <v>30362.48</v>
      </c>
      <c r="M24" s="265">
        <v>163655.69</v>
      </c>
    </row>
    <row r="25" spans="1:13" x14ac:dyDescent="0.15">
      <c r="A25" s="263" t="s">
        <v>330</v>
      </c>
      <c r="B25" s="264">
        <v>44.26</v>
      </c>
      <c r="C25" s="264">
        <v>29.13</v>
      </c>
      <c r="D25" s="264">
        <v>60.6</v>
      </c>
      <c r="E25" s="264"/>
      <c r="F25" s="264"/>
      <c r="G25" s="264"/>
      <c r="H25" s="264"/>
      <c r="I25" s="264"/>
      <c r="J25" s="264"/>
      <c r="K25" s="264"/>
      <c r="L25" s="264"/>
      <c r="M25" s="264"/>
    </row>
    <row r="26" spans="1:13" x14ac:dyDescent="0.15">
      <c r="A26" s="263" t="s">
        <v>331</v>
      </c>
      <c r="B26" s="265">
        <v>92.19</v>
      </c>
      <c r="C26" s="265"/>
      <c r="D26" s="265">
        <v>193.65</v>
      </c>
      <c r="E26" s="265">
        <v>10.93</v>
      </c>
      <c r="F26" s="265">
        <v>12.87</v>
      </c>
      <c r="G26" s="265">
        <v>0.4</v>
      </c>
      <c r="H26" s="265">
        <v>0.85</v>
      </c>
      <c r="I26" s="265">
        <v>0.65</v>
      </c>
      <c r="J26" s="265">
        <v>65.56</v>
      </c>
      <c r="K26" s="265">
        <v>0.5</v>
      </c>
      <c r="L26" s="265"/>
      <c r="M26" s="265">
        <v>3.61</v>
      </c>
    </row>
    <row r="27" spans="1:13" x14ac:dyDescent="0.15">
      <c r="A27" s="263" t="s">
        <v>332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x14ac:dyDescent="0.15">
      <c r="A28" s="263" t="s">
        <v>333</v>
      </c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</row>
    <row r="29" spans="1:13" x14ac:dyDescent="0.15">
      <c r="A29" s="263" t="s">
        <v>334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</row>
    <row r="30" spans="1:13" x14ac:dyDescent="0.15">
      <c r="A30" s="263" t="s">
        <v>335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</row>
    <row r="31" spans="1:13" x14ac:dyDescent="0.15">
      <c r="A31" s="263" t="s">
        <v>336</v>
      </c>
      <c r="B31" s="264">
        <v>36940.660000000003</v>
      </c>
      <c r="C31" s="264">
        <v>69378.94</v>
      </c>
      <c r="D31" s="264">
        <v>117187.45</v>
      </c>
      <c r="E31" s="264">
        <v>10.93</v>
      </c>
      <c r="F31" s="264">
        <v>232800.63</v>
      </c>
      <c r="G31" s="264">
        <v>20066.23</v>
      </c>
      <c r="H31" s="264">
        <v>0.85</v>
      </c>
      <c r="I31" s="264">
        <v>140000.65</v>
      </c>
      <c r="J31" s="264">
        <v>155635.76999999999</v>
      </c>
      <c r="K31" s="264">
        <v>20095.919999999998</v>
      </c>
      <c r="L31" s="264">
        <v>30362.48</v>
      </c>
      <c r="M31" s="264">
        <v>163659.29999999999</v>
      </c>
    </row>
    <row r="32" spans="1:13" x14ac:dyDescent="0.15">
      <c r="A32" s="263" t="s">
        <v>337</v>
      </c>
      <c r="B32" s="265">
        <v>6146.36</v>
      </c>
      <c r="C32" s="265">
        <v>7719.33</v>
      </c>
      <c r="D32" s="265">
        <v>12081.74</v>
      </c>
      <c r="E32" s="265">
        <v>7224.91</v>
      </c>
      <c r="F32" s="265">
        <v>18546.66</v>
      </c>
      <c r="G32" s="265">
        <v>4948.92</v>
      </c>
      <c r="H32" s="265">
        <v>8097.78</v>
      </c>
      <c r="I32" s="265">
        <v>14847.16</v>
      </c>
      <c r="J32" s="265">
        <v>24420.51</v>
      </c>
      <c r="K32" s="265">
        <v>6860.95</v>
      </c>
      <c r="L32" s="265">
        <v>9808.49</v>
      </c>
      <c r="M32" s="265">
        <v>15058.49</v>
      </c>
    </row>
    <row r="33" spans="1:13" x14ac:dyDescent="0.15">
      <c r="A33" s="263" t="s">
        <v>338</v>
      </c>
      <c r="B33" s="264">
        <v>37700</v>
      </c>
      <c r="C33" s="264">
        <v>68304.7</v>
      </c>
      <c r="D33" s="264">
        <v>117000</v>
      </c>
      <c r="E33" s="264">
        <v>200</v>
      </c>
      <c r="F33" s="264">
        <v>232400</v>
      </c>
      <c r="G33" s="264">
        <v>40000</v>
      </c>
      <c r="H33" s="264"/>
      <c r="I33" s="264">
        <v>140000</v>
      </c>
      <c r="J33" s="264">
        <v>155000</v>
      </c>
      <c r="K33" s="264">
        <v>40000</v>
      </c>
      <c r="L33" s="264">
        <v>30000</v>
      </c>
      <c r="M33" s="264">
        <v>163655.69</v>
      </c>
    </row>
    <row r="34" spans="1:13" x14ac:dyDescent="0.15">
      <c r="A34" s="263" t="s">
        <v>339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</row>
    <row r="35" spans="1:13" x14ac:dyDescent="0.15">
      <c r="A35" s="263" t="s">
        <v>340</v>
      </c>
      <c r="B35" s="264"/>
      <c r="C35" s="264">
        <v>9.51</v>
      </c>
      <c r="D35" s="264"/>
      <c r="E35" s="264"/>
      <c r="F35" s="264">
        <v>7.76</v>
      </c>
      <c r="G35" s="264"/>
      <c r="H35" s="264"/>
      <c r="I35" s="264"/>
      <c r="J35" s="264"/>
      <c r="K35" s="264"/>
      <c r="L35" s="264"/>
      <c r="M35" s="264"/>
    </row>
    <row r="36" spans="1:13" x14ac:dyDescent="0.15">
      <c r="A36" s="263" t="s">
        <v>341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x14ac:dyDescent="0.15">
      <c r="A37" s="263" t="s">
        <v>342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</row>
    <row r="38" spans="1:13" x14ac:dyDescent="0.15">
      <c r="A38" s="263" t="s">
        <v>343</v>
      </c>
      <c r="B38" s="265">
        <v>43846.36</v>
      </c>
      <c r="C38" s="265">
        <v>76033.55</v>
      </c>
      <c r="D38" s="265">
        <v>129081.74</v>
      </c>
      <c r="E38" s="265">
        <v>7424.91</v>
      </c>
      <c r="F38" s="265">
        <v>250954.42</v>
      </c>
      <c r="G38" s="265">
        <v>44948.92</v>
      </c>
      <c r="H38" s="265">
        <v>8097.78</v>
      </c>
      <c r="I38" s="265">
        <v>154847.16</v>
      </c>
      <c r="J38" s="265">
        <v>179420.51</v>
      </c>
      <c r="K38" s="265">
        <v>46860.95</v>
      </c>
      <c r="L38" s="265">
        <v>39808.49</v>
      </c>
      <c r="M38" s="265">
        <v>178714.18</v>
      </c>
    </row>
    <row r="39" spans="1:13" x14ac:dyDescent="0.15">
      <c r="A39" s="263" t="s">
        <v>344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</row>
    <row r="40" spans="1:13" x14ac:dyDescent="0.15">
      <c r="A40" s="263" t="s">
        <v>345</v>
      </c>
      <c r="B40" s="265">
        <v>-6905.71</v>
      </c>
      <c r="C40" s="265">
        <v>-6654.6</v>
      </c>
      <c r="D40" s="265">
        <v>-11894.28</v>
      </c>
      <c r="E40" s="265">
        <v>-7413.98</v>
      </c>
      <c r="F40" s="265">
        <v>-18153.79</v>
      </c>
      <c r="G40" s="265">
        <v>-24882.69</v>
      </c>
      <c r="H40" s="265">
        <v>-8096.93</v>
      </c>
      <c r="I40" s="265">
        <v>-14846.5</v>
      </c>
      <c r="J40" s="265">
        <v>-23784.75</v>
      </c>
      <c r="K40" s="265">
        <v>-26765.03</v>
      </c>
      <c r="L40" s="265">
        <v>-9446.01</v>
      </c>
      <c r="M40" s="265">
        <v>-15054.88</v>
      </c>
    </row>
    <row r="41" spans="1:13" x14ac:dyDescent="0.15">
      <c r="A41" s="263" t="s">
        <v>346</v>
      </c>
      <c r="B41" s="264" t="s">
        <v>161</v>
      </c>
      <c r="C41" s="264" t="s">
        <v>161</v>
      </c>
      <c r="D41" s="264" t="s">
        <v>161</v>
      </c>
      <c r="E41" s="264" t="s">
        <v>161</v>
      </c>
      <c r="F41" s="264" t="s">
        <v>161</v>
      </c>
      <c r="G41" s="264" t="s">
        <v>161</v>
      </c>
      <c r="H41" s="264" t="s">
        <v>161</v>
      </c>
      <c r="I41" s="264" t="s">
        <v>161</v>
      </c>
      <c r="J41" s="264" t="s">
        <v>161</v>
      </c>
      <c r="K41" s="264" t="s">
        <v>161</v>
      </c>
      <c r="L41" s="264" t="s">
        <v>161</v>
      </c>
      <c r="M41" s="264" t="s">
        <v>161</v>
      </c>
    </row>
    <row r="42" spans="1:13" x14ac:dyDescent="0.15">
      <c r="A42" s="263" t="s">
        <v>347</v>
      </c>
      <c r="B42" s="265">
        <v>10018.33</v>
      </c>
      <c r="C42" s="265">
        <v>16600</v>
      </c>
      <c r="D42" s="265">
        <v>3750</v>
      </c>
      <c r="E42" s="265"/>
      <c r="F42" s="265"/>
      <c r="G42" s="265"/>
      <c r="H42" s="265"/>
      <c r="I42" s="265"/>
      <c r="J42" s="265"/>
      <c r="K42" s="265"/>
      <c r="L42" s="265"/>
      <c r="M42" s="265">
        <v>55988</v>
      </c>
    </row>
    <row r="43" spans="1:13" x14ac:dyDescent="0.15">
      <c r="A43" s="263" t="s">
        <v>348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</row>
    <row r="44" spans="1:13" x14ac:dyDescent="0.15">
      <c r="A44" s="263" t="s">
        <v>349</v>
      </c>
      <c r="B44" s="265">
        <v>2201.98</v>
      </c>
      <c r="C44" s="265">
        <v>16300</v>
      </c>
      <c r="D44" s="265">
        <v>49800</v>
      </c>
      <c r="E44" s="265"/>
      <c r="F44" s="265">
        <v>3000</v>
      </c>
      <c r="G44" s="265">
        <v>16800</v>
      </c>
      <c r="H44" s="265">
        <v>16800</v>
      </c>
      <c r="I44" s="265">
        <v>16800</v>
      </c>
      <c r="J44" s="265">
        <v>16800</v>
      </c>
      <c r="K44" s="265"/>
      <c r="L44" s="265"/>
      <c r="M44" s="265"/>
    </row>
    <row r="45" spans="1:13" x14ac:dyDescent="0.15">
      <c r="A45" s="263" t="s">
        <v>350</v>
      </c>
      <c r="B45" s="264">
        <v>30</v>
      </c>
      <c r="C45" s="264">
        <v>260</v>
      </c>
      <c r="D45" s="264"/>
      <c r="E45" s="264">
        <v>153.83000000000001</v>
      </c>
      <c r="F45" s="264"/>
      <c r="G45" s="264">
        <v>19.399999999999999</v>
      </c>
      <c r="H45" s="264"/>
      <c r="I45" s="264"/>
      <c r="J45" s="264"/>
      <c r="K45" s="264"/>
      <c r="L45" s="264"/>
      <c r="M45" s="264"/>
    </row>
    <row r="46" spans="1:13" x14ac:dyDescent="0.15">
      <c r="A46" s="263" t="s">
        <v>351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</row>
    <row r="47" spans="1:13" x14ac:dyDescent="0.15">
      <c r="A47" s="263" t="s">
        <v>352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</row>
    <row r="48" spans="1:13" x14ac:dyDescent="0.15">
      <c r="A48" s="263" t="s">
        <v>353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</row>
    <row r="49" spans="1:13" x14ac:dyDescent="0.15">
      <c r="A49" s="263" t="s">
        <v>354</v>
      </c>
      <c r="B49" s="264">
        <v>12250.31</v>
      </c>
      <c r="C49" s="264">
        <v>33160</v>
      </c>
      <c r="D49" s="264">
        <v>53550</v>
      </c>
      <c r="E49" s="264">
        <v>153.83000000000001</v>
      </c>
      <c r="F49" s="264">
        <v>3000</v>
      </c>
      <c r="G49" s="264">
        <v>16819.400000000001</v>
      </c>
      <c r="H49" s="264">
        <v>16800</v>
      </c>
      <c r="I49" s="264">
        <v>16800</v>
      </c>
      <c r="J49" s="264">
        <v>16800</v>
      </c>
      <c r="K49" s="264"/>
      <c r="L49" s="264"/>
      <c r="M49" s="264">
        <v>55988</v>
      </c>
    </row>
    <row r="50" spans="1:13" x14ac:dyDescent="0.15">
      <c r="A50" s="263" t="s">
        <v>355</v>
      </c>
      <c r="B50" s="265">
        <v>0.01</v>
      </c>
      <c r="C50" s="265">
        <v>7016.26</v>
      </c>
      <c r="D50" s="265">
        <v>20100</v>
      </c>
      <c r="E50" s="265">
        <v>15800</v>
      </c>
      <c r="F50" s="265">
        <v>18800</v>
      </c>
      <c r="G50" s="265">
        <v>16800</v>
      </c>
      <c r="H50" s="265">
        <v>16800</v>
      </c>
      <c r="I50" s="265">
        <v>16800</v>
      </c>
      <c r="J50" s="265">
        <v>16800</v>
      </c>
      <c r="K50" s="265"/>
      <c r="L50" s="265"/>
      <c r="M50" s="265"/>
    </row>
    <row r="51" spans="1:13" x14ac:dyDescent="0.15">
      <c r="A51" s="263" t="s">
        <v>356</v>
      </c>
      <c r="B51" s="264">
        <v>1.9</v>
      </c>
      <c r="C51" s="264">
        <v>77.290000000000006</v>
      </c>
      <c r="D51" s="264">
        <v>1492.11</v>
      </c>
      <c r="E51" s="264">
        <v>10329.59</v>
      </c>
      <c r="F51" s="264">
        <v>10649.58</v>
      </c>
      <c r="G51" s="264">
        <v>52.86</v>
      </c>
      <c r="H51" s="264">
        <v>56.55</v>
      </c>
      <c r="I51" s="264">
        <v>133.80000000000001</v>
      </c>
      <c r="J51" s="264">
        <v>360.72</v>
      </c>
      <c r="K51" s="264"/>
      <c r="L51" s="264"/>
      <c r="M51" s="264">
        <v>227.5</v>
      </c>
    </row>
    <row r="52" spans="1:13" x14ac:dyDescent="0.15">
      <c r="A52" s="263" t="s">
        <v>357</v>
      </c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</row>
    <row r="53" spans="1:13" x14ac:dyDescent="0.15">
      <c r="A53" s="263" t="s">
        <v>358</v>
      </c>
      <c r="B53" s="264"/>
      <c r="C53" s="264">
        <v>10</v>
      </c>
      <c r="D53" s="264">
        <v>135</v>
      </c>
      <c r="E53" s="264">
        <v>105</v>
      </c>
      <c r="F53" s="264">
        <v>130</v>
      </c>
      <c r="G53" s="264"/>
      <c r="H53" s="264">
        <v>25</v>
      </c>
      <c r="I53" s="264">
        <v>37.5</v>
      </c>
      <c r="J53" s="264">
        <v>50</v>
      </c>
      <c r="K53" s="264"/>
      <c r="L53" s="264"/>
      <c r="M53" s="264"/>
    </row>
    <row r="54" spans="1:13" x14ac:dyDescent="0.15">
      <c r="A54" s="263" t="s">
        <v>359</v>
      </c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</row>
    <row r="55" spans="1:13" x14ac:dyDescent="0.15">
      <c r="A55" s="263" t="s">
        <v>360</v>
      </c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</row>
    <row r="56" spans="1:13" x14ac:dyDescent="0.15">
      <c r="A56" s="263" t="s">
        <v>361</v>
      </c>
      <c r="B56" s="265">
        <v>1.91</v>
      </c>
      <c r="C56" s="265">
        <v>7103.55</v>
      </c>
      <c r="D56" s="265">
        <v>21727.11</v>
      </c>
      <c r="E56" s="265">
        <v>26234.59</v>
      </c>
      <c r="F56" s="265">
        <v>29579.58</v>
      </c>
      <c r="G56" s="265">
        <v>16852.86</v>
      </c>
      <c r="H56" s="265">
        <v>16881.55</v>
      </c>
      <c r="I56" s="265">
        <v>16971.3</v>
      </c>
      <c r="J56" s="265">
        <v>17210.72</v>
      </c>
      <c r="K56" s="265"/>
      <c r="L56" s="265"/>
      <c r="M56" s="265">
        <v>227.5</v>
      </c>
    </row>
    <row r="57" spans="1:13" x14ac:dyDescent="0.15">
      <c r="A57" s="263" t="s">
        <v>362</v>
      </c>
      <c r="B57" s="264"/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</row>
    <row r="58" spans="1:13" x14ac:dyDescent="0.15">
      <c r="A58" s="263" t="s">
        <v>363</v>
      </c>
      <c r="B58" s="265">
        <v>12248.4</v>
      </c>
      <c r="C58" s="265">
        <v>26056.45</v>
      </c>
      <c r="D58" s="265">
        <v>31822.89</v>
      </c>
      <c r="E58" s="265">
        <v>-26080.77</v>
      </c>
      <c r="F58" s="265">
        <v>-26579.58</v>
      </c>
      <c r="G58" s="265">
        <v>-33.46</v>
      </c>
      <c r="H58" s="265">
        <v>-81.55</v>
      </c>
      <c r="I58" s="265">
        <v>-171.3</v>
      </c>
      <c r="J58" s="265">
        <v>-410.72</v>
      </c>
      <c r="K58" s="265"/>
      <c r="L58" s="265"/>
      <c r="M58" s="265">
        <v>55760.5</v>
      </c>
    </row>
    <row r="59" spans="1:13" x14ac:dyDescent="0.15">
      <c r="A59" s="263" t="s">
        <v>364</v>
      </c>
      <c r="B59" s="264">
        <v>69.03</v>
      </c>
      <c r="C59" s="264">
        <v>0</v>
      </c>
      <c r="D59" s="264"/>
      <c r="E59" s="264"/>
      <c r="F59" s="264">
        <v>-12.19</v>
      </c>
      <c r="G59" s="264">
        <v>-1.3</v>
      </c>
      <c r="H59" s="264">
        <v>-2.93</v>
      </c>
      <c r="I59" s="264">
        <v>-8.11</v>
      </c>
      <c r="J59" s="264">
        <v>-18.43</v>
      </c>
      <c r="K59" s="264">
        <v>-2.4500000000000002</v>
      </c>
      <c r="L59" s="264"/>
      <c r="M59" s="264">
        <v>-53.72</v>
      </c>
    </row>
    <row r="60" spans="1:13" x14ac:dyDescent="0.15">
      <c r="A60" s="263" t="s">
        <v>365</v>
      </c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</row>
    <row r="61" spans="1:13" x14ac:dyDescent="0.15">
      <c r="A61" s="263" t="s">
        <v>366</v>
      </c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</row>
    <row r="62" spans="1:13" x14ac:dyDescent="0.15">
      <c r="A62" s="263" t="s">
        <v>367</v>
      </c>
      <c r="B62" s="265">
        <v>6176.41</v>
      </c>
      <c r="C62" s="265">
        <v>793.99</v>
      </c>
      <c r="D62" s="265">
        <v>30883.78</v>
      </c>
      <c r="E62" s="265">
        <v>24737.74</v>
      </c>
      <c r="F62" s="265">
        <v>-45.24</v>
      </c>
      <c r="G62" s="265">
        <v>9559.51</v>
      </c>
      <c r="H62" s="265">
        <v>53822.67</v>
      </c>
      <c r="I62" s="265">
        <v>42726.47</v>
      </c>
      <c r="J62" s="265">
        <v>39436.129999999997</v>
      </c>
      <c r="K62" s="265">
        <v>4120.37</v>
      </c>
      <c r="L62" s="265">
        <v>35191.449999999997</v>
      </c>
      <c r="M62" s="265">
        <v>72774.740000000005</v>
      </c>
    </row>
    <row r="63" spans="1:13" x14ac:dyDescent="0.15">
      <c r="A63" s="263" t="s">
        <v>368</v>
      </c>
      <c r="B63" s="264">
        <v>3904.35</v>
      </c>
      <c r="C63" s="264">
        <v>10080.76</v>
      </c>
      <c r="D63" s="264">
        <v>10874.75</v>
      </c>
      <c r="E63" s="264">
        <v>41758.53</v>
      </c>
      <c r="F63" s="264">
        <v>41758.53</v>
      </c>
      <c r="G63" s="264">
        <v>41713.29</v>
      </c>
      <c r="H63" s="264">
        <v>41713.29</v>
      </c>
      <c r="I63" s="264">
        <v>41800.74</v>
      </c>
      <c r="J63" s="264">
        <v>41713.29</v>
      </c>
      <c r="K63" s="264">
        <v>81149.42</v>
      </c>
      <c r="L63" s="264">
        <v>81679.8</v>
      </c>
      <c r="M63" s="264">
        <v>81679.8</v>
      </c>
    </row>
    <row r="64" spans="1:13" x14ac:dyDescent="0.15">
      <c r="A64" s="263" t="s">
        <v>369</v>
      </c>
      <c r="B64" s="265">
        <v>10080.76</v>
      </c>
      <c r="C64" s="265">
        <v>10874.75</v>
      </c>
      <c r="D64" s="265">
        <v>41758.53</v>
      </c>
      <c r="E64" s="265">
        <v>66496.27</v>
      </c>
      <c r="F64" s="265">
        <v>41713.29</v>
      </c>
      <c r="G64" s="265">
        <v>51272.79</v>
      </c>
      <c r="H64" s="265">
        <v>95535.95</v>
      </c>
      <c r="I64" s="265">
        <v>84527.2</v>
      </c>
      <c r="J64" s="265">
        <v>81149.42</v>
      </c>
      <c r="K64" s="265">
        <v>85269.79</v>
      </c>
      <c r="L64" s="265">
        <v>116871.25</v>
      </c>
      <c r="M64" s="265">
        <v>154454.54</v>
      </c>
    </row>
    <row r="65" spans="1:13" x14ac:dyDescent="0.15">
      <c r="A65" s="263" t="s">
        <v>370</v>
      </c>
      <c r="B65" s="264" t="s">
        <v>161</v>
      </c>
      <c r="C65" s="264" t="s">
        <v>161</v>
      </c>
      <c r="D65" s="264" t="s">
        <v>161</v>
      </c>
      <c r="E65" s="264" t="s">
        <v>161</v>
      </c>
      <c r="F65" s="264" t="s">
        <v>161</v>
      </c>
      <c r="G65" s="264" t="s">
        <v>161</v>
      </c>
      <c r="H65" s="264" t="s">
        <v>161</v>
      </c>
      <c r="I65" s="264" t="s">
        <v>161</v>
      </c>
      <c r="J65" s="264" t="s">
        <v>161</v>
      </c>
      <c r="K65" s="264" t="s">
        <v>161</v>
      </c>
      <c r="L65" s="264" t="s">
        <v>161</v>
      </c>
      <c r="M65" s="264" t="s">
        <v>161</v>
      </c>
    </row>
    <row r="66" spans="1:13" x14ac:dyDescent="0.15">
      <c r="A66" s="263" t="s">
        <v>371</v>
      </c>
      <c r="B66" s="265"/>
      <c r="C66" s="265"/>
      <c r="D66" s="265">
        <v>23650.03</v>
      </c>
      <c r="E66" s="265"/>
      <c r="F66" s="265">
        <v>30201.72</v>
      </c>
      <c r="G66" s="265"/>
      <c r="H66" s="265">
        <v>20826.2</v>
      </c>
      <c r="I66" s="265"/>
      <c r="J66" s="265">
        <v>30385.98</v>
      </c>
      <c r="K66" s="265"/>
      <c r="L66" s="265">
        <v>26645.86</v>
      </c>
      <c r="M66" s="265"/>
    </row>
    <row r="67" spans="1:13" x14ac:dyDescent="0.15">
      <c r="A67" s="263" t="s">
        <v>372</v>
      </c>
      <c r="B67" s="264"/>
      <c r="C67" s="264"/>
      <c r="D67" s="264">
        <v>189.45</v>
      </c>
      <c r="E67" s="264"/>
      <c r="F67" s="264">
        <v>666.74</v>
      </c>
      <c r="G67" s="264"/>
      <c r="H67" s="264">
        <v>416.27</v>
      </c>
      <c r="I67" s="264"/>
      <c r="J67" s="264">
        <v>781.68</v>
      </c>
      <c r="K67" s="264"/>
      <c r="L67" s="264">
        <v>329.63</v>
      </c>
      <c r="M67" s="264"/>
    </row>
    <row r="68" spans="1:13" x14ac:dyDescent="0.15">
      <c r="A68" s="263" t="s">
        <v>373</v>
      </c>
      <c r="B68" s="265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</row>
    <row r="69" spans="1:13" x14ac:dyDescent="0.15">
      <c r="A69" s="263" t="s">
        <v>374</v>
      </c>
      <c r="B69" s="264"/>
      <c r="C69" s="264"/>
      <c r="D69" s="264">
        <v>1263.6099999999999</v>
      </c>
      <c r="E69" s="264"/>
      <c r="F69" s="264">
        <v>2386.94</v>
      </c>
      <c r="G69" s="264"/>
      <c r="H69" s="264">
        <v>1550.03</v>
      </c>
      <c r="I69" s="264"/>
      <c r="J69" s="264">
        <v>3141.48</v>
      </c>
      <c r="K69" s="264"/>
      <c r="L69" s="264">
        <v>1586.13</v>
      </c>
      <c r="M69" s="264"/>
    </row>
    <row r="70" spans="1:13" x14ac:dyDescent="0.15">
      <c r="A70" s="263" t="s">
        <v>375</v>
      </c>
      <c r="B70" s="265"/>
      <c r="C70" s="265"/>
      <c r="D70" s="265">
        <v>148.66999999999999</v>
      </c>
      <c r="E70" s="265"/>
      <c r="F70" s="265">
        <v>221.05</v>
      </c>
      <c r="G70" s="265"/>
      <c r="H70" s="265">
        <v>137.79</v>
      </c>
      <c r="I70" s="265"/>
      <c r="J70" s="265">
        <v>293.37</v>
      </c>
      <c r="K70" s="265"/>
      <c r="L70" s="265">
        <v>138.96</v>
      </c>
      <c r="M70" s="265"/>
    </row>
    <row r="71" spans="1:13" x14ac:dyDescent="0.15">
      <c r="A71" s="263" t="s">
        <v>376</v>
      </c>
      <c r="B71" s="264"/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</row>
    <row r="72" spans="1:13" x14ac:dyDescent="0.15">
      <c r="A72" s="263" t="s">
        <v>377</v>
      </c>
      <c r="B72" s="265"/>
      <c r="C72" s="265"/>
      <c r="D72" s="265">
        <v>181.15</v>
      </c>
      <c r="E72" s="265"/>
      <c r="F72" s="265">
        <v>760.46</v>
      </c>
      <c r="G72" s="265"/>
      <c r="H72" s="265">
        <v>623.89</v>
      </c>
      <c r="I72" s="265"/>
      <c r="J72" s="265">
        <v>1363.52</v>
      </c>
      <c r="K72" s="265"/>
      <c r="L72" s="265">
        <v>855.86</v>
      </c>
      <c r="M72" s="265"/>
    </row>
    <row r="73" spans="1:13" x14ac:dyDescent="0.15">
      <c r="A73" s="263" t="s">
        <v>378</v>
      </c>
      <c r="B73" s="264"/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</row>
    <row r="74" spans="1:13" x14ac:dyDescent="0.15">
      <c r="A74" s="263" t="s">
        <v>379</v>
      </c>
      <c r="B74" s="265"/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</row>
    <row r="75" spans="1:13" x14ac:dyDescent="0.15">
      <c r="A75" s="263" t="s">
        <v>380</v>
      </c>
      <c r="B75" s="264"/>
      <c r="C75" s="264"/>
      <c r="D75" s="264">
        <v>244.32</v>
      </c>
      <c r="E75" s="264"/>
      <c r="F75" s="264">
        <v>57.45</v>
      </c>
      <c r="G75" s="264"/>
      <c r="H75" s="264">
        <v>2.7</v>
      </c>
      <c r="I75" s="264"/>
      <c r="J75" s="264">
        <v>6.56</v>
      </c>
      <c r="K75" s="264"/>
      <c r="L75" s="264">
        <v>-11.17</v>
      </c>
      <c r="M75" s="264"/>
    </row>
    <row r="76" spans="1:13" x14ac:dyDescent="0.15">
      <c r="A76" s="263" t="s">
        <v>381</v>
      </c>
      <c r="B76" s="265"/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</row>
    <row r="77" spans="1:13" x14ac:dyDescent="0.15">
      <c r="A77" s="263" t="s">
        <v>382</v>
      </c>
      <c r="B77" s="264"/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</row>
    <row r="78" spans="1:13" x14ac:dyDescent="0.15">
      <c r="A78" s="263" t="s">
        <v>383</v>
      </c>
      <c r="B78" s="265"/>
      <c r="C78" s="265"/>
      <c r="D78" s="265">
        <v>541.57000000000005</v>
      </c>
      <c r="E78" s="265"/>
      <c r="F78" s="265">
        <v>383.43</v>
      </c>
      <c r="G78" s="265"/>
      <c r="H78" s="265">
        <v>209.73</v>
      </c>
      <c r="I78" s="265"/>
      <c r="J78" s="265">
        <v>378.57</v>
      </c>
      <c r="K78" s="265"/>
      <c r="L78" s="265">
        <v>150.83000000000001</v>
      </c>
      <c r="M78" s="265"/>
    </row>
    <row r="79" spans="1:13" x14ac:dyDescent="0.15">
      <c r="A79" s="263" t="s">
        <v>384</v>
      </c>
      <c r="B79" s="264"/>
      <c r="C79" s="264"/>
      <c r="D79" s="264">
        <v>-187.39</v>
      </c>
      <c r="E79" s="264"/>
      <c r="F79" s="264">
        <v>-579.86</v>
      </c>
      <c r="G79" s="264"/>
      <c r="H79" s="264">
        <v>30.16</v>
      </c>
      <c r="I79" s="264"/>
      <c r="J79" s="264">
        <v>-568.94000000000005</v>
      </c>
      <c r="K79" s="264"/>
      <c r="L79" s="264">
        <v>-225.2</v>
      </c>
      <c r="M79" s="264"/>
    </row>
    <row r="80" spans="1:13" x14ac:dyDescent="0.15">
      <c r="A80" s="263" t="s">
        <v>385</v>
      </c>
      <c r="B80" s="265"/>
      <c r="C80" s="265"/>
      <c r="D80" s="265">
        <v>-64.52</v>
      </c>
      <c r="E80" s="265"/>
      <c r="F80" s="265">
        <v>-494.79</v>
      </c>
      <c r="G80" s="265"/>
      <c r="H80" s="265">
        <v>-193.06</v>
      </c>
      <c r="I80" s="265"/>
      <c r="J80" s="265">
        <v>-447.01</v>
      </c>
      <c r="K80" s="265"/>
      <c r="L80" s="265">
        <v>-35.799999999999997</v>
      </c>
      <c r="M80" s="265"/>
    </row>
    <row r="81" spans="1:13" x14ac:dyDescent="0.15">
      <c r="A81" s="263" t="s">
        <v>386</v>
      </c>
      <c r="B81" s="264"/>
      <c r="C81" s="264"/>
      <c r="D81" s="264"/>
      <c r="E81" s="264"/>
      <c r="F81" s="264"/>
      <c r="G81" s="264"/>
      <c r="H81" s="264">
        <v>0.03</v>
      </c>
      <c r="I81" s="264"/>
      <c r="J81" s="264"/>
      <c r="K81" s="264"/>
      <c r="L81" s="264"/>
      <c r="M81" s="264"/>
    </row>
    <row r="82" spans="1:13" x14ac:dyDescent="0.15">
      <c r="A82" s="263" t="s">
        <v>387</v>
      </c>
      <c r="B82" s="265"/>
      <c r="C82" s="265"/>
      <c r="D82" s="265">
        <v>-51002.45</v>
      </c>
      <c r="E82" s="265"/>
      <c r="F82" s="265">
        <v>8009.12</v>
      </c>
      <c r="G82" s="265"/>
      <c r="H82" s="265">
        <v>62610.42</v>
      </c>
      <c r="I82" s="265"/>
      <c r="J82" s="265">
        <v>-15236.45</v>
      </c>
      <c r="K82" s="265"/>
      <c r="L82" s="265">
        <v>75425.919999999998</v>
      </c>
      <c r="M82" s="265"/>
    </row>
    <row r="83" spans="1:13" x14ac:dyDescent="0.15">
      <c r="A83" s="263" t="s">
        <v>388</v>
      </c>
      <c r="B83" s="264"/>
      <c r="C83" s="264"/>
      <c r="D83" s="264">
        <v>-14420.43</v>
      </c>
      <c r="E83" s="264"/>
      <c r="F83" s="264">
        <v>1946.08</v>
      </c>
      <c r="G83" s="264"/>
      <c r="H83" s="264">
        <v>14069.71</v>
      </c>
      <c r="I83" s="264"/>
      <c r="J83" s="264">
        <v>-15639.53</v>
      </c>
      <c r="K83" s="264"/>
      <c r="L83" s="264">
        <v>-62609.86</v>
      </c>
      <c r="M83" s="264"/>
    </row>
    <row r="84" spans="1:13" x14ac:dyDescent="0.15">
      <c r="A84" s="263" t="s">
        <v>389</v>
      </c>
      <c r="B84" s="265"/>
      <c r="C84" s="265"/>
      <c r="D84" s="265">
        <v>45848.86</v>
      </c>
      <c r="E84" s="265"/>
      <c r="F84" s="265">
        <v>1132.55</v>
      </c>
      <c r="G84" s="265"/>
      <c r="H84" s="265">
        <v>-38270.21</v>
      </c>
      <c r="I84" s="265"/>
      <c r="J84" s="265">
        <v>59633.75</v>
      </c>
      <c r="K84" s="265"/>
      <c r="L84" s="265">
        <v>2386.31</v>
      </c>
      <c r="M84" s="265"/>
    </row>
    <row r="85" spans="1:13" x14ac:dyDescent="0.15">
      <c r="A85" s="263" t="s">
        <v>390</v>
      </c>
      <c r="B85" s="264"/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</row>
    <row r="86" spans="1:13" x14ac:dyDescent="0.15">
      <c r="A86" s="263" t="s">
        <v>391</v>
      </c>
      <c r="B86" s="265"/>
      <c r="C86" s="265"/>
      <c r="D86" s="265">
        <v>4562.3100000000004</v>
      </c>
      <c r="E86" s="265"/>
      <c r="F86" s="265">
        <v>9.43</v>
      </c>
      <c r="G86" s="265"/>
      <c r="H86" s="265">
        <v>-9.6</v>
      </c>
      <c r="I86" s="265"/>
      <c r="J86" s="265">
        <v>-442.93</v>
      </c>
      <c r="K86" s="265"/>
      <c r="L86" s="265"/>
      <c r="M86" s="265"/>
    </row>
    <row r="87" spans="1:13" x14ac:dyDescent="0.15">
      <c r="A87" s="263" t="s">
        <v>392</v>
      </c>
      <c r="B87" s="264"/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</row>
    <row r="88" spans="1:13" x14ac:dyDescent="0.15">
      <c r="A88" s="263" t="s">
        <v>393</v>
      </c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</row>
    <row r="89" spans="1:13" x14ac:dyDescent="0.15">
      <c r="A89" s="263" t="s">
        <v>394</v>
      </c>
      <c r="B89" s="264"/>
      <c r="C89" s="264"/>
      <c r="D89" s="264">
        <v>10955.18</v>
      </c>
      <c r="E89" s="264"/>
      <c r="F89" s="264">
        <v>44700.32</v>
      </c>
      <c r="G89" s="264"/>
      <c r="H89" s="264">
        <v>62004.07</v>
      </c>
      <c r="I89" s="264"/>
      <c r="J89" s="264">
        <v>63650.03</v>
      </c>
      <c r="K89" s="264"/>
      <c r="L89" s="264">
        <v>44637.46</v>
      </c>
      <c r="M89" s="264"/>
    </row>
    <row r="90" spans="1:13" x14ac:dyDescent="0.15">
      <c r="A90" s="263" t="s">
        <v>395</v>
      </c>
      <c r="B90" s="265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</row>
    <row r="91" spans="1:13" x14ac:dyDescent="0.15">
      <c r="A91" s="263" t="s">
        <v>396</v>
      </c>
      <c r="B91" s="264"/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</row>
    <row r="92" spans="1:13" x14ac:dyDescent="0.15">
      <c r="A92" s="263" t="s">
        <v>397</v>
      </c>
      <c r="B92" s="265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</row>
    <row r="93" spans="1:13" x14ac:dyDescent="0.15">
      <c r="A93" s="263" t="s">
        <v>398</v>
      </c>
      <c r="B93" s="264"/>
      <c r="C93" s="264"/>
      <c r="D93" s="264">
        <v>41758.53</v>
      </c>
      <c r="E93" s="264"/>
      <c r="F93" s="264">
        <v>41713.29</v>
      </c>
      <c r="G93" s="264"/>
      <c r="H93" s="264">
        <v>95535.95</v>
      </c>
      <c r="I93" s="264"/>
      <c r="J93" s="264">
        <v>81149.42</v>
      </c>
      <c r="K93" s="264"/>
      <c r="L93" s="264">
        <v>116871.25</v>
      </c>
      <c r="M93" s="264"/>
    </row>
    <row r="94" spans="1:13" x14ac:dyDescent="0.15">
      <c r="A94" s="263" t="s">
        <v>399</v>
      </c>
      <c r="B94" s="265"/>
      <c r="C94" s="265"/>
      <c r="D94" s="265">
        <v>10874.75</v>
      </c>
      <c r="E94" s="265"/>
      <c r="F94" s="265">
        <v>41758.53</v>
      </c>
      <c r="G94" s="265"/>
      <c r="H94" s="265">
        <v>41713.29</v>
      </c>
      <c r="I94" s="265"/>
      <c r="J94" s="265">
        <v>41713.29</v>
      </c>
      <c r="K94" s="265"/>
      <c r="L94" s="265">
        <v>81679.8</v>
      </c>
      <c r="M94" s="265"/>
    </row>
    <row r="95" spans="1:13" x14ac:dyDescent="0.15">
      <c r="A95" s="263" t="s">
        <v>400</v>
      </c>
      <c r="B95" s="264"/>
      <c r="C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</row>
    <row r="96" spans="1:13" x14ac:dyDescent="0.15">
      <c r="A96" s="263" t="s">
        <v>401</v>
      </c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</row>
    <row r="97" spans="1:14" x14ac:dyDescent="0.15">
      <c r="A97" s="263" t="s">
        <v>402</v>
      </c>
      <c r="B97" s="264"/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</row>
    <row r="98" spans="1:14" x14ac:dyDescent="0.15">
      <c r="A98" s="263" t="s">
        <v>403</v>
      </c>
      <c r="B98" s="265"/>
      <c r="C98" s="265"/>
      <c r="D98" s="265"/>
      <c r="E98" s="265"/>
      <c r="F98" s="265"/>
      <c r="G98" s="265"/>
      <c r="H98" s="265"/>
      <c r="I98" s="265"/>
      <c r="J98" s="265"/>
      <c r="K98" s="265"/>
      <c r="L98" s="265"/>
      <c r="M98" s="265"/>
    </row>
    <row r="99" spans="1:14" x14ac:dyDescent="0.15">
      <c r="A99" s="263" t="s">
        <v>404</v>
      </c>
      <c r="B99" s="264"/>
      <c r="C99" s="264"/>
      <c r="D99" s="264">
        <v>30883.78</v>
      </c>
      <c r="E99" s="264"/>
      <c r="F99" s="264">
        <v>-45.24</v>
      </c>
      <c r="G99" s="264"/>
      <c r="H99" s="264">
        <v>53822.67</v>
      </c>
      <c r="I99" s="264"/>
      <c r="J99" s="264">
        <v>39436.129999999997</v>
      </c>
      <c r="K99" s="264"/>
      <c r="L99" s="264">
        <v>35191.449999999997</v>
      </c>
      <c r="M99" s="264"/>
    </row>
    <row r="101" spans="1:14" x14ac:dyDescent="0.15">
      <c r="A101" s="266" t="s">
        <v>405</v>
      </c>
      <c r="B101" s="267">
        <f>B37</f>
        <v>0</v>
      </c>
      <c r="C101" s="267">
        <f>C37-B37</f>
        <v>0</v>
      </c>
      <c r="D101" s="267">
        <f>D37-C37</f>
        <v>0</v>
      </c>
      <c r="E101" s="267">
        <f>E37-D37</f>
        <v>0</v>
      </c>
      <c r="F101" s="267">
        <f>F37</f>
        <v>0</v>
      </c>
      <c r="G101" s="267">
        <f>G37-F37</f>
        <v>0</v>
      </c>
      <c r="H101" s="267">
        <f>H37-G37</f>
        <v>0</v>
      </c>
      <c r="I101" s="267">
        <f>I37-H37</f>
        <v>0</v>
      </c>
      <c r="J101" s="267">
        <f>J37</f>
        <v>0</v>
      </c>
      <c r="K101" s="267">
        <f>K37-J37</f>
        <v>0</v>
      </c>
      <c r="L101" s="267">
        <f>L37-K37</f>
        <v>0</v>
      </c>
      <c r="M101" s="267">
        <f>M37-L37</f>
        <v>0</v>
      </c>
      <c r="N101" s="267"/>
    </row>
    <row r="102" spans="1:14" x14ac:dyDescent="0.15">
      <c r="A102" s="266" t="s">
        <v>406</v>
      </c>
      <c r="B102" s="267">
        <f>'利润表(单季度)'!B48</f>
        <v>0</v>
      </c>
      <c r="C102" s="267">
        <f>'利润表(单季度)'!C48</f>
        <v>0</v>
      </c>
      <c r="D102" s="267">
        <f>'利润表(单季度)'!D48</f>
        <v>0</v>
      </c>
      <c r="E102" s="267">
        <f>'利润表(单季度)'!E48</f>
        <v>0</v>
      </c>
      <c r="F102" s="267">
        <f>'利润表(单季度)'!F48</f>
        <v>0</v>
      </c>
      <c r="G102" s="267">
        <f>'利润表(单季度)'!G48</f>
        <v>0</v>
      </c>
      <c r="H102" s="267">
        <f>'利润表(单季度)'!H48</f>
        <v>0</v>
      </c>
      <c r="I102" s="267" t="e">
        <f>'利润表(单季度)'!#REF!</f>
        <v>#REF!</v>
      </c>
      <c r="J102" s="267" t="e">
        <f>'利润表(单季度)'!#REF!</f>
        <v>#REF!</v>
      </c>
      <c r="K102" s="267" t="e">
        <f>'利润表(单季度)'!#REF!</f>
        <v>#REF!</v>
      </c>
      <c r="L102" s="267" t="e">
        <f>'利润表(单季度)'!#REF!</f>
        <v>#REF!</v>
      </c>
      <c r="M102" s="267" t="e">
        <f>'利润表(单季度)'!#REF!</f>
        <v>#REF!</v>
      </c>
    </row>
    <row r="103" spans="1:14" x14ac:dyDescent="0.15">
      <c r="A103" s="266" t="s">
        <v>407</v>
      </c>
      <c r="B103" s="268">
        <f t="shared" ref="B103:M103" si="0">B101-B102</f>
        <v>0</v>
      </c>
      <c r="C103" s="268">
        <f t="shared" si="0"/>
        <v>0</v>
      </c>
      <c r="D103" s="268">
        <f t="shared" si="0"/>
        <v>0</v>
      </c>
      <c r="E103" s="268">
        <f t="shared" si="0"/>
        <v>0</v>
      </c>
      <c r="F103" s="268">
        <f t="shared" si="0"/>
        <v>0</v>
      </c>
      <c r="G103" s="268">
        <f t="shared" si="0"/>
        <v>0</v>
      </c>
      <c r="H103" s="268">
        <f t="shared" si="0"/>
        <v>0</v>
      </c>
      <c r="I103" s="268" t="e">
        <f t="shared" si="0"/>
        <v>#REF!</v>
      </c>
      <c r="J103" s="268" t="e">
        <f t="shared" si="0"/>
        <v>#REF!</v>
      </c>
      <c r="K103" s="268" t="e">
        <f t="shared" si="0"/>
        <v>#REF!</v>
      </c>
      <c r="L103" s="268" t="e">
        <f t="shared" si="0"/>
        <v>#REF!</v>
      </c>
      <c r="M103" s="268" t="e">
        <f t="shared" si="0"/>
        <v>#REF!</v>
      </c>
    </row>
    <row r="104" spans="1:14" x14ac:dyDescent="0.15">
      <c r="A104" s="266" t="s">
        <v>408</v>
      </c>
      <c r="B104" s="268" t="e">
        <f>SUM(#REF!)</f>
        <v>#REF!</v>
      </c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</row>
    <row r="105" spans="1:14" x14ac:dyDescent="0.15">
      <c r="A105" s="266" t="s">
        <v>409</v>
      </c>
      <c r="B105" s="268" t="e">
        <f>SUM(#REF!,#REF!,#REF!,#REF!,#REF!,#REF!,#REF!)</f>
        <v>#REF!</v>
      </c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</row>
    <row r="106" spans="1:14" x14ac:dyDescent="0.15">
      <c r="A106" s="266" t="s">
        <v>410</v>
      </c>
      <c r="B106" s="268" t="e">
        <f>SUM(B103:M103)</f>
        <v>#REF!</v>
      </c>
    </row>
    <row r="107" spans="1:14" x14ac:dyDescent="0.15">
      <c r="A107" s="266" t="s">
        <v>411</v>
      </c>
      <c r="B107" s="268" t="e">
        <f>SUM(#REF!)</f>
        <v>#REF!</v>
      </c>
    </row>
    <row r="108" spans="1:14" x14ac:dyDescent="0.15">
      <c r="A108" s="266" t="s">
        <v>412</v>
      </c>
      <c r="B108" s="268"/>
      <c r="C108" s="68">
        <v>-35.299999999999997</v>
      </c>
      <c r="D108" s="68">
        <v>30.2</v>
      </c>
      <c r="E108" s="68">
        <v>82.79</v>
      </c>
      <c r="F108" s="68">
        <v>-96.22</v>
      </c>
      <c r="G108" s="68">
        <v>-6.1700000000000204</v>
      </c>
      <c r="H108" s="68">
        <v>5.88</v>
      </c>
      <c r="I108" s="68">
        <v>106.02</v>
      </c>
      <c r="J108" s="68">
        <v>11.88</v>
      </c>
      <c r="K108" s="68">
        <v>-35.770000000000003</v>
      </c>
      <c r="L108" s="68">
        <v>20.57</v>
      </c>
      <c r="M108" s="68">
        <v>68.17</v>
      </c>
    </row>
    <row r="109" spans="1:14" x14ac:dyDescent="0.15">
      <c r="A109" s="266" t="s">
        <v>413</v>
      </c>
      <c r="B109" s="268"/>
      <c r="C109" s="68">
        <v>7.81</v>
      </c>
      <c r="D109" s="68">
        <v>-11.6</v>
      </c>
      <c r="E109" s="68">
        <v>23.55</v>
      </c>
      <c r="F109" s="68">
        <v>-1.5700000000000101</v>
      </c>
      <c r="G109" s="68">
        <v>8.2799999999999994</v>
      </c>
      <c r="H109" s="68">
        <v>3.44</v>
      </c>
      <c r="I109" s="68">
        <v>12.27</v>
      </c>
      <c r="J109" s="68">
        <v>8.1699999999999893</v>
      </c>
      <c r="K109" s="68">
        <v>26.94</v>
      </c>
      <c r="L109" s="68">
        <v>3.78</v>
      </c>
      <c r="M109" s="68">
        <v>1.66</v>
      </c>
    </row>
    <row r="110" spans="1:14" x14ac:dyDescent="0.15">
      <c r="A110" s="266" t="s">
        <v>414</v>
      </c>
      <c r="B110" s="269" t="s">
        <v>415</v>
      </c>
      <c r="C110" s="270" t="s">
        <v>416</v>
      </c>
      <c r="D110" s="271" t="s">
        <v>417</v>
      </c>
    </row>
    <row r="111" spans="1:14" x14ac:dyDescent="0.15">
      <c r="A111" s="266" t="s">
        <v>418</v>
      </c>
      <c r="B111" s="68">
        <v>113.66</v>
      </c>
      <c r="C111" s="68">
        <v>2406.84</v>
      </c>
      <c r="D111" s="68">
        <f>C111-B111</f>
        <v>2293.1800000000003</v>
      </c>
    </row>
    <row r="112" spans="1:14" x14ac:dyDescent="0.15">
      <c r="A112" s="266" t="s">
        <v>419</v>
      </c>
      <c r="B112" s="68">
        <v>311.11</v>
      </c>
      <c r="C112" s="68">
        <v>3366.89</v>
      </c>
      <c r="D112" s="68">
        <f>C112-B112</f>
        <v>3055.7799999999997</v>
      </c>
    </row>
    <row r="113" spans="1:13" x14ac:dyDescent="0.15">
      <c r="A113" s="266" t="s">
        <v>420</v>
      </c>
      <c r="B113" s="271" t="s">
        <v>421</v>
      </c>
      <c r="C113" s="271" t="s">
        <v>422</v>
      </c>
      <c r="D113" s="271" t="s">
        <v>423</v>
      </c>
      <c r="E113" s="271" t="s">
        <v>424</v>
      </c>
      <c r="F113" s="271" t="s">
        <v>425</v>
      </c>
      <c r="G113" s="271" t="s">
        <v>426</v>
      </c>
      <c r="H113" s="271" t="s">
        <v>427</v>
      </c>
    </row>
    <row r="114" spans="1:13" x14ac:dyDescent="0.15">
      <c r="A114" s="266" t="s">
        <v>428</v>
      </c>
      <c r="B114" s="68">
        <v>1860.83</v>
      </c>
      <c r="C114" s="68">
        <v>2851.54</v>
      </c>
      <c r="D114" s="68">
        <v>2604.11</v>
      </c>
      <c r="E114" s="68">
        <v>3784.83</v>
      </c>
      <c r="F114" s="68">
        <v>3984.67</v>
      </c>
      <c r="G114" s="68">
        <v>4480.9399999999996</v>
      </c>
      <c r="H114" s="68">
        <v>4384.28</v>
      </c>
    </row>
    <row r="115" spans="1:13" x14ac:dyDescent="0.15">
      <c r="A115" s="266" t="s">
        <v>429</v>
      </c>
      <c r="C115" s="68">
        <v>509.65</v>
      </c>
      <c r="D115" s="68">
        <v>552.67999999999995</v>
      </c>
      <c r="E115" s="68">
        <v>862.35</v>
      </c>
      <c r="F115" s="68">
        <v>739.94</v>
      </c>
      <c r="G115" s="68">
        <v>724.02</v>
      </c>
      <c r="H115" s="68">
        <v>1185.6300000000001</v>
      </c>
    </row>
    <row r="116" spans="1:13" x14ac:dyDescent="0.15">
      <c r="A116" s="266" t="s">
        <v>430</v>
      </c>
      <c r="C116" s="272">
        <f>C115/C114</f>
        <v>0.17872798557972183</v>
      </c>
      <c r="D116" s="272">
        <f t="shared" ref="D116:H116" si="1">D115/D114</f>
        <v>0.21223373820614333</v>
      </c>
      <c r="E116" s="272">
        <f t="shared" si="1"/>
        <v>0.22784378690720589</v>
      </c>
      <c r="F116" s="272">
        <f t="shared" si="1"/>
        <v>0.18569668253581853</v>
      </c>
      <c r="G116" s="272">
        <f t="shared" si="1"/>
        <v>0.16157770467803631</v>
      </c>
      <c r="H116" s="272">
        <f t="shared" si="1"/>
        <v>0.270427527438941</v>
      </c>
    </row>
    <row r="117" spans="1:13" x14ac:dyDescent="0.15">
      <c r="A117" s="266" t="s">
        <v>431</v>
      </c>
      <c r="C117" s="272">
        <v>-0.15274111894768699</v>
      </c>
      <c r="D117" s="272">
        <v>0.11845459894096901</v>
      </c>
      <c r="E117" s="272">
        <v>0.21526261050442</v>
      </c>
      <c r="F117" s="272">
        <v>-0.33489958581323298</v>
      </c>
      <c r="G117" s="272">
        <v>-2.0796117159324602E-2</v>
      </c>
      <c r="H117" s="272">
        <v>1.9452807092996301E-2</v>
      </c>
      <c r="I117" s="272">
        <v>0.21414720853195399</v>
      </c>
      <c r="J117" s="272">
        <v>2.7643335815338801E-2</v>
      </c>
      <c r="K117" s="272">
        <v>-9.1078066914498101E-2</v>
      </c>
      <c r="L117" s="272">
        <v>5.3745460246126503E-2</v>
      </c>
      <c r="M117" s="272">
        <v>0.14180812115160599</v>
      </c>
    </row>
  </sheetData>
  <phoneticPr fontId="52" type="noConversion"/>
  <conditionalFormatting sqref="C117:M11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{868F3298-397C-462C-834B-15842607C745}</x14:id>
        </ext>
      </extLst>
    </cfRule>
  </conditionalFormatting>
  <conditionalFormatting sqref="C108:M10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{B655D226-1934-41C5-9D4C-5F1C35D1C1EE}</x14:id>
        </ext>
      </extLst>
    </cfRule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8F3298-397C-462C-834B-15842607C7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C117:M117</xm:sqref>
        </x14:conditionalFormatting>
        <x14:conditionalFormatting xmlns:xm="http://schemas.microsoft.com/office/excel/2006/main">
          <x14:cfRule type="dataBar" id="{B655D226-1934-41C5-9D4C-5F1C35D1C1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C108:M109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9"/>
  <sheetViews>
    <sheetView workbookViewId="0">
      <pane xSplit="1" ySplit="2" topLeftCell="B3" activePane="bottomRight" state="frozen"/>
      <selection pane="topRight"/>
      <selection pane="bottomLeft"/>
      <selection pane="bottomRight" activeCell="J6" sqref="J6"/>
    </sheetView>
  </sheetViews>
  <sheetFormatPr defaultColWidth="8.875" defaultRowHeight="13.5" x14ac:dyDescent="0.15"/>
  <cols>
    <col min="1" max="1" width="46.375" style="247" customWidth="1"/>
    <col min="2" max="8" width="11.625" style="247" customWidth="1"/>
    <col min="9" max="16384" width="8.875" style="247"/>
  </cols>
  <sheetData>
    <row r="1" spans="1:8" x14ac:dyDescent="0.15">
      <c r="A1" s="248" t="s">
        <v>22</v>
      </c>
      <c r="B1" s="249"/>
      <c r="C1" s="249"/>
      <c r="D1" s="249"/>
      <c r="E1" s="249"/>
      <c r="F1" s="249"/>
      <c r="G1" s="249"/>
      <c r="H1" s="249"/>
    </row>
    <row r="2" spans="1:8" x14ac:dyDescent="0.15">
      <c r="A2" s="250"/>
      <c r="B2" s="251" t="s">
        <v>307</v>
      </c>
      <c r="C2" s="251" t="s">
        <v>308</v>
      </c>
      <c r="D2" s="251" t="s">
        <v>309</v>
      </c>
      <c r="E2" s="251" t="s">
        <v>82</v>
      </c>
      <c r="F2" s="251" t="s">
        <v>177</v>
      </c>
      <c r="G2" s="251" t="s">
        <v>178</v>
      </c>
      <c r="H2" s="251" t="s">
        <v>179</v>
      </c>
    </row>
    <row r="3" spans="1:8" x14ac:dyDescent="0.15">
      <c r="A3" s="252" t="s">
        <v>83</v>
      </c>
      <c r="B3" s="253" t="s">
        <v>432</v>
      </c>
      <c r="C3" s="253" t="s">
        <v>433</v>
      </c>
      <c r="D3" s="253" t="s">
        <v>434</v>
      </c>
      <c r="E3" s="253" t="s">
        <v>435</v>
      </c>
      <c r="F3" s="253" t="s">
        <v>432</v>
      </c>
      <c r="G3" s="253" t="s">
        <v>433</v>
      </c>
      <c r="H3" s="253" t="s">
        <v>434</v>
      </c>
    </row>
    <row r="4" spans="1:8" x14ac:dyDescent="0.15">
      <c r="A4" s="252" t="s">
        <v>85</v>
      </c>
      <c r="B4" s="254" t="s">
        <v>436</v>
      </c>
      <c r="C4" s="254" t="s">
        <v>436</v>
      </c>
      <c r="D4" s="254" t="s">
        <v>436</v>
      </c>
      <c r="E4" s="254" t="s">
        <v>436</v>
      </c>
      <c r="F4" s="254" t="s">
        <v>436</v>
      </c>
      <c r="G4" s="254" t="s">
        <v>436</v>
      </c>
      <c r="H4" s="254" t="s">
        <v>436</v>
      </c>
    </row>
    <row r="5" spans="1:8" x14ac:dyDescent="0.15">
      <c r="A5" s="252" t="s">
        <v>33</v>
      </c>
      <c r="B5" s="253">
        <v>225490.66</v>
      </c>
      <c r="C5" s="253">
        <v>97716.13</v>
      </c>
      <c r="D5" s="253">
        <v>143776.41</v>
      </c>
      <c r="E5" s="253">
        <v>233133.5</v>
      </c>
      <c r="F5" s="253">
        <v>286767.23</v>
      </c>
      <c r="G5" s="253">
        <v>164373.56</v>
      </c>
      <c r="H5" s="253">
        <v>220323.54</v>
      </c>
    </row>
    <row r="6" spans="1:8" x14ac:dyDescent="0.15">
      <c r="A6" s="252" t="s">
        <v>87</v>
      </c>
      <c r="B6" s="254">
        <v>225490.66</v>
      </c>
      <c r="C6" s="254">
        <v>97716.13</v>
      </c>
      <c r="D6" s="254">
        <v>143776.41</v>
      </c>
      <c r="E6" s="254">
        <v>233133.5</v>
      </c>
      <c r="F6" s="254">
        <v>286767.23</v>
      </c>
      <c r="G6" s="254">
        <v>164373.56</v>
      </c>
      <c r="H6" s="254">
        <v>220323.54</v>
      </c>
    </row>
    <row r="7" spans="1:8" x14ac:dyDescent="0.15">
      <c r="A7" s="252" t="s">
        <v>437</v>
      </c>
      <c r="B7" s="253"/>
      <c r="C7" s="253"/>
      <c r="D7" s="253"/>
      <c r="E7" s="253"/>
      <c r="F7" s="253"/>
      <c r="G7" s="253"/>
      <c r="H7" s="253"/>
    </row>
    <row r="8" spans="1:8" x14ac:dyDescent="0.15">
      <c r="A8" s="252" t="s">
        <v>92</v>
      </c>
      <c r="B8" s="254">
        <v>194614.96</v>
      </c>
      <c r="C8" s="254">
        <v>100554.98</v>
      </c>
      <c r="D8" s="254">
        <v>141704.26</v>
      </c>
      <c r="E8" s="254">
        <v>229382.84</v>
      </c>
      <c r="F8" s="254">
        <v>253386.42</v>
      </c>
      <c r="G8" s="254">
        <v>162866.22</v>
      </c>
      <c r="H8" s="254">
        <v>217368.11</v>
      </c>
    </row>
    <row r="9" spans="1:8" x14ac:dyDescent="0.15">
      <c r="A9" s="252" t="s">
        <v>93</v>
      </c>
      <c r="B9" s="253">
        <v>153502.07999999999</v>
      </c>
      <c r="C9" s="253">
        <v>71161.42</v>
      </c>
      <c r="D9" s="253">
        <v>105946.27</v>
      </c>
      <c r="E9" s="253">
        <v>171730.88</v>
      </c>
      <c r="F9" s="253">
        <v>191682.53</v>
      </c>
      <c r="G9" s="253">
        <v>120251.72</v>
      </c>
      <c r="H9" s="253">
        <v>163782.20000000001</v>
      </c>
    </row>
    <row r="10" spans="1:8" x14ac:dyDescent="0.15">
      <c r="A10" s="252" t="s">
        <v>113</v>
      </c>
      <c r="B10" s="254">
        <v>1786.54</v>
      </c>
      <c r="C10" s="254">
        <v>550.62</v>
      </c>
      <c r="D10" s="254">
        <v>611.08000000000004</v>
      </c>
      <c r="E10" s="254">
        <v>266.76</v>
      </c>
      <c r="F10" s="254">
        <v>2280.9299999999998</v>
      </c>
      <c r="G10" s="254">
        <v>701.17</v>
      </c>
      <c r="H10" s="254">
        <v>536.86</v>
      </c>
    </row>
    <row r="11" spans="1:8" x14ac:dyDescent="0.15">
      <c r="A11" s="252" t="s">
        <v>114</v>
      </c>
      <c r="B11" s="253">
        <v>36174.83</v>
      </c>
      <c r="C11" s="253">
        <v>26626.84</v>
      </c>
      <c r="D11" s="253">
        <v>31492.14</v>
      </c>
      <c r="E11" s="253">
        <v>51777.45</v>
      </c>
      <c r="F11" s="253">
        <v>55139.74</v>
      </c>
      <c r="G11" s="253">
        <v>37504.28</v>
      </c>
      <c r="H11" s="253">
        <v>47963.73</v>
      </c>
    </row>
    <row r="12" spans="1:8" x14ac:dyDescent="0.15">
      <c r="A12" s="252" t="s">
        <v>115</v>
      </c>
      <c r="B12" s="254">
        <v>2466.56</v>
      </c>
      <c r="C12" s="254">
        <v>2081</v>
      </c>
      <c r="D12" s="254">
        <v>2143.4899999999998</v>
      </c>
      <c r="E12" s="254">
        <v>4655.63</v>
      </c>
      <c r="F12" s="254">
        <v>3377.34</v>
      </c>
      <c r="G12" s="254">
        <v>3719.34</v>
      </c>
      <c r="H12" s="254">
        <v>4370.59</v>
      </c>
    </row>
    <row r="13" spans="1:8" x14ac:dyDescent="0.15">
      <c r="A13" s="252" t="s">
        <v>116</v>
      </c>
      <c r="B13" s="253">
        <v>592.92999999999995</v>
      </c>
      <c r="C13" s="253">
        <v>362.91</v>
      </c>
      <c r="D13" s="253">
        <v>1351.07</v>
      </c>
      <c r="E13" s="253">
        <v>1104.8900000000001</v>
      </c>
      <c r="F13" s="253">
        <v>1129.94</v>
      </c>
      <c r="G13" s="253">
        <v>1016.4</v>
      </c>
      <c r="H13" s="253">
        <v>1032.71</v>
      </c>
    </row>
    <row r="14" spans="1:8" x14ac:dyDescent="0.15">
      <c r="A14" s="252" t="s">
        <v>117</v>
      </c>
      <c r="B14" s="254">
        <v>-58.8</v>
      </c>
      <c r="C14" s="254">
        <v>-493.28</v>
      </c>
      <c r="D14" s="254">
        <v>132.56</v>
      </c>
      <c r="E14" s="254">
        <v>-490.54</v>
      </c>
      <c r="F14" s="254">
        <v>-300.38</v>
      </c>
      <c r="G14" s="254">
        <v>-579.99</v>
      </c>
      <c r="H14" s="254">
        <v>-317.97000000000003</v>
      </c>
    </row>
    <row r="15" spans="1:8" x14ac:dyDescent="0.15">
      <c r="A15" s="252" t="s">
        <v>118</v>
      </c>
      <c r="B15" s="253">
        <v>127.86</v>
      </c>
      <c r="C15" s="253">
        <v>35.67</v>
      </c>
      <c r="D15" s="253">
        <v>76.67</v>
      </c>
      <c r="E15" s="253">
        <v>76.67</v>
      </c>
      <c r="F15" s="253">
        <v>75</v>
      </c>
      <c r="G15" s="253">
        <v>75.83</v>
      </c>
      <c r="H15" s="253">
        <v>76.67</v>
      </c>
    </row>
    <row r="16" spans="1:8" x14ac:dyDescent="0.15">
      <c r="A16" s="252" t="s">
        <v>119</v>
      </c>
      <c r="B16" s="254">
        <v>126.48</v>
      </c>
      <c r="C16" s="254">
        <v>468.06</v>
      </c>
      <c r="D16" s="254">
        <v>143.22</v>
      </c>
      <c r="E16" s="254">
        <v>20.59</v>
      </c>
      <c r="F16" s="254">
        <v>235.27</v>
      </c>
      <c r="G16" s="254">
        <v>505.98</v>
      </c>
      <c r="H16" s="254">
        <v>268.11</v>
      </c>
    </row>
    <row r="17" spans="1:8" x14ac:dyDescent="0.15">
      <c r="A17" s="252" t="s">
        <v>438</v>
      </c>
      <c r="B17" s="253"/>
      <c r="C17" s="253"/>
      <c r="D17" s="253"/>
      <c r="E17" s="253"/>
      <c r="F17" s="253"/>
      <c r="G17" s="253"/>
      <c r="H17" s="253"/>
    </row>
    <row r="18" spans="1:8" x14ac:dyDescent="0.15">
      <c r="A18" s="252" t="s">
        <v>439</v>
      </c>
      <c r="B18" s="254">
        <v>114.85</v>
      </c>
      <c r="C18" s="254">
        <v>301.23</v>
      </c>
      <c r="D18" s="254">
        <v>4522.21</v>
      </c>
      <c r="E18" s="254">
        <v>379.41</v>
      </c>
      <c r="F18" s="254">
        <v>119.6</v>
      </c>
      <c r="G18" s="254">
        <v>123.91</v>
      </c>
      <c r="H18" s="254">
        <v>291.25</v>
      </c>
    </row>
    <row r="19" spans="1:8" x14ac:dyDescent="0.15">
      <c r="A19" s="252" t="s">
        <v>129</v>
      </c>
      <c r="B19" s="253">
        <v>57.51</v>
      </c>
      <c r="C19" s="253">
        <v>-87.67</v>
      </c>
      <c r="D19" s="253">
        <v>426.48</v>
      </c>
      <c r="E19" s="253">
        <v>172.62</v>
      </c>
      <c r="F19" s="253">
        <v>102.97</v>
      </c>
      <c r="G19" s="253">
        <v>122.22</v>
      </c>
      <c r="H19" s="253">
        <v>316.63</v>
      </c>
    </row>
    <row r="20" spans="1:8" x14ac:dyDescent="0.15">
      <c r="A20" s="252" t="s">
        <v>130</v>
      </c>
      <c r="B20" s="254">
        <v>-8.32</v>
      </c>
      <c r="C20" s="254">
        <v>-21.84</v>
      </c>
      <c r="D20" s="254">
        <v>4.33</v>
      </c>
      <c r="E20" s="254">
        <v>24.56</v>
      </c>
      <c r="F20" s="254">
        <v>7.56</v>
      </c>
      <c r="G20" s="254">
        <v>43.65</v>
      </c>
      <c r="H20" s="254">
        <v>36.96</v>
      </c>
    </row>
    <row r="21" spans="1:8" x14ac:dyDescent="0.15">
      <c r="A21" s="252" t="s">
        <v>131</v>
      </c>
      <c r="B21" s="253"/>
      <c r="C21" s="253"/>
      <c r="D21" s="253"/>
      <c r="E21" s="253"/>
      <c r="F21" s="253"/>
      <c r="G21" s="253"/>
      <c r="H21" s="253"/>
    </row>
    <row r="22" spans="1:8" x14ac:dyDescent="0.15">
      <c r="A22" s="252" t="s">
        <v>132</v>
      </c>
      <c r="B22" s="254"/>
      <c r="C22" s="254"/>
      <c r="D22" s="254"/>
      <c r="E22" s="254"/>
      <c r="F22" s="254"/>
      <c r="G22" s="254"/>
      <c r="H22" s="254"/>
    </row>
    <row r="23" spans="1:8" x14ac:dyDescent="0.15">
      <c r="A23" s="252" t="s">
        <v>133</v>
      </c>
      <c r="B23" s="253"/>
      <c r="C23" s="253"/>
      <c r="D23" s="253"/>
      <c r="E23" s="253"/>
      <c r="F23" s="253"/>
      <c r="G23" s="253"/>
      <c r="H23" s="253"/>
    </row>
    <row r="24" spans="1:8" x14ac:dyDescent="0.15">
      <c r="A24" s="252" t="s">
        <v>134</v>
      </c>
      <c r="B24" s="254">
        <v>150.80000000000001</v>
      </c>
      <c r="C24" s="254">
        <v>265.47000000000003</v>
      </c>
      <c r="D24" s="254">
        <v>27.64</v>
      </c>
      <c r="E24" s="254">
        <v>337.76</v>
      </c>
      <c r="F24" s="254">
        <v>76.33</v>
      </c>
      <c r="G24" s="254">
        <v>-20.5</v>
      </c>
      <c r="H24" s="254">
        <v>32.36</v>
      </c>
    </row>
    <row r="25" spans="1:8" x14ac:dyDescent="0.15">
      <c r="A25" s="252" t="s">
        <v>135</v>
      </c>
      <c r="B25" s="253"/>
      <c r="C25" s="253"/>
      <c r="D25" s="253"/>
      <c r="E25" s="253"/>
      <c r="F25" s="253"/>
      <c r="G25" s="253">
        <v>-232.8</v>
      </c>
      <c r="H25" s="253">
        <v>86.39</v>
      </c>
    </row>
    <row r="26" spans="1:8" x14ac:dyDescent="0.15">
      <c r="A26" s="252" t="s">
        <v>136</v>
      </c>
      <c r="B26" s="254"/>
      <c r="C26" s="254"/>
      <c r="D26" s="254"/>
      <c r="E26" s="254">
        <v>38.26</v>
      </c>
      <c r="F26" s="254"/>
      <c r="G26" s="254"/>
      <c r="H26" s="254">
        <v>1.03</v>
      </c>
    </row>
    <row r="27" spans="1:8" x14ac:dyDescent="0.15">
      <c r="A27" s="252" t="s">
        <v>137</v>
      </c>
      <c r="B27" s="253"/>
      <c r="C27" s="253"/>
      <c r="D27" s="253"/>
      <c r="E27" s="253"/>
      <c r="F27" s="253"/>
      <c r="G27" s="253"/>
      <c r="H27" s="253"/>
    </row>
    <row r="28" spans="1:8" x14ac:dyDescent="0.15">
      <c r="A28" s="252" t="s">
        <v>138</v>
      </c>
      <c r="B28" s="254"/>
      <c r="C28" s="254"/>
      <c r="D28" s="254"/>
      <c r="E28" s="254"/>
      <c r="F28" s="254"/>
      <c r="G28" s="254"/>
      <c r="H28" s="254"/>
    </row>
    <row r="29" spans="1:8" x14ac:dyDescent="0.15">
      <c r="A29" s="252" t="s">
        <v>139</v>
      </c>
      <c r="B29" s="253"/>
      <c r="C29" s="253"/>
      <c r="D29" s="253"/>
      <c r="E29" s="253"/>
      <c r="F29" s="253"/>
      <c r="G29" s="253">
        <v>0</v>
      </c>
      <c r="H29" s="253"/>
    </row>
    <row r="30" spans="1:8" x14ac:dyDescent="0.15">
      <c r="A30" s="252" t="s">
        <v>140</v>
      </c>
      <c r="B30" s="254">
        <v>31048.05</v>
      </c>
      <c r="C30" s="254">
        <v>-2625.29</v>
      </c>
      <c r="D30" s="254">
        <v>7020.85</v>
      </c>
      <c r="E30" s="254">
        <v>4340.95</v>
      </c>
      <c r="F30" s="254">
        <v>33603.379999999997</v>
      </c>
      <c r="G30" s="254">
        <v>1753.47</v>
      </c>
      <c r="H30" s="254">
        <v>3683.1</v>
      </c>
    </row>
    <row r="31" spans="1:8" x14ac:dyDescent="0.15">
      <c r="A31" s="252" t="s">
        <v>141</v>
      </c>
      <c r="B31" s="253">
        <v>107.97</v>
      </c>
      <c r="C31" s="253">
        <v>89.7</v>
      </c>
      <c r="D31" s="253">
        <v>184.08</v>
      </c>
      <c r="E31" s="253">
        <v>152.87</v>
      </c>
      <c r="F31" s="253">
        <v>151.63999999999999</v>
      </c>
      <c r="G31" s="253">
        <v>123.47</v>
      </c>
      <c r="H31" s="253">
        <v>182.9</v>
      </c>
    </row>
    <row r="32" spans="1:8" x14ac:dyDescent="0.15">
      <c r="A32" s="252" t="s">
        <v>142</v>
      </c>
      <c r="B32" s="254">
        <v>-0.16</v>
      </c>
      <c r="C32" s="254">
        <v>86.51</v>
      </c>
      <c r="D32" s="254">
        <v>22.93</v>
      </c>
      <c r="E32" s="254">
        <v>27.11</v>
      </c>
      <c r="F32" s="254">
        <v>26.04</v>
      </c>
      <c r="G32" s="254">
        <v>22.52</v>
      </c>
      <c r="H32" s="254">
        <v>8.2200000000000006</v>
      </c>
    </row>
    <row r="33" spans="1:8" x14ac:dyDescent="0.15">
      <c r="A33" s="252" t="s">
        <v>143</v>
      </c>
      <c r="B33" s="253"/>
      <c r="C33" s="253"/>
      <c r="D33" s="253"/>
      <c r="E33" s="253"/>
      <c r="F33" s="253"/>
      <c r="G33" s="253"/>
      <c r="H33" s="253"/>
    </row>
    <row r="34" spans="1:8" x14ac:dyDescent="0.15">
      <c r="A34" s="252" t="s">
        <v>144</v>
      </c>
      <c r="B34" s="254"/>
      <c r="C34" s="254"/>
      <c r="D34" s="254"/>
      <c r="E34" s="254"/>
      <c r="F34" s="254"/>
      <c r="G34" s="254"/>
      <c r="H34" s="254"/>
    </row>
    <row r="35" spans="1:8" x14ac:dyDescent="0.15">
      <c r="A35" s="252" t="s">
        <v>145</v>
      </c>
      <c r="B35" s="253"/>
      <c r="C35" s="253"/>
      <c r="D35" s="253"/>
      <c r="E35" s="253"/>
      <c r="F35" s="253"/>
      <c r="G35" s="253"/>
      <c r="H35" s="253"/>
    </row>
    <row r="36" spans="1:8" x14ac:dyDescent="0.15">
      <c r="A36" s="252" t="s">
        <v>146</v>
      </c>
      <c r="B36" s="254">
        <v>31156.18</v>
      </c>
      <c r="C36" s="254">
        <v>-2622.1</v>
      </c>
      <c r="D36" s="254">
        <v>7182</v>
      </c>
      <c r="E36" s="254">
        <v>4466.7</v>
      </c>
      <c r="F36" s="254">
        <v>33728.980000000003</v>
      </c>
      <c r="G36" s="254">
        <v>1854.41</v>
      </c>
      <c r="H36" s="254">
        <v>3857.78</v>
      </c>
    </row>
    <row r="37" spans="1:8" x14ac:dyDescent="0.15">
      <c r="A37" s="252" t="s">
        <v>147</v>
      </c>
      <c r="B37" s="253">
        <v>7847.23</v>
      </c>
      <c r="C37" s="253">
        <v>-139.35</v>
      </c>
      <c r="D37" s="253">
        <v>1226.4000000000001</v>
      </c>
      <c r="E37" s="253">
        <v>862.52</v>
      </c>
      <c r="F37" s="253">
        <v>8799.68</v>
      </c>
      <c r="G37" s="253">
        <v>137.85</v>
      </c>
      <c r="H37" s="253">
        <v>936.78</v>
      </c>
    </row>
    <row r="38" spans="1:8" x14ac:dyDescent="0.15">
      <c r="A38" s="252" t="s">
        <v>148</v>
      </c>
      <c r="B38" s="254"/>
      <c r="C38" s="254"/>
      <c r="D38" s="254"/>
      <c r="E38" s="254"/>
      <c r="F38" s="254"/>
      <c r="G38" s="254"/>
      <c r="H38" s="254"/>
    </row>
    <row r="39" spans="1:8" x14ac:dyDescent="0.15">
      <c r="A39" s="252" t="s">
        <v>149</v>
      </c>
      <c r="B39" s="253"/>
      <c r="C39" s="253"/>
      <c r="D39" s="253"/>
      <c r="E39" s="253"/>
      <c r="F39" s="253"/>
      <c r="G39" s="253"/>
      <c r="H39" s="253"/>
    </row>
    <row r="40" spans="1:8" x14ac:dyDescent="0.15">
      <c r="A40" s="252" t="s">
        <v>150</v>
      </c>
      <c r="B40" s="254"/>
      <c r="C40" s="254"/>
      <c r="D40" s="254"/>
      <c r="E40" s="254"/>
      <c r="F40" s="254"/>
      <c r="G40" s="254"/>
      <c r="H40" s="254"/>
    </row>
    <row r="41" spans="1:8" x14ac:dyDescent="0.15">
      <c r="A41" s="252" t="s">
        <v>151</v>
      </c>
      <c r="B41" s="253">
        <v>23308.95</v>
      </c>
      <c r="C41" s="253">
        <v>-2482.75</v>
      </c>
      <c r="D41" s="253">
        <v>5955.6</v>
      </c>
      <c r="E41" s="253">
        <v>3604.19</v>
      </c>
      <c r="F41" s="253">
        <v>24929.3</v>
      </c>
      <c r="G41" s="253">
        <v>1716.56</v>
      </c>
      <c r="H41" s="253">
        <v>2921</v>
      </c>
    </row>
    <row r="42" spans="1:8" x14ac:dyDescent="0.15">
      <c r="A42" s="252" t="s">
        <v>152</v>
      </c>
      <c r="B42" s="254">
        <v>23308.95</v>
      </c>
      <c r="C42" s="254">
        <v>-2482.75</v>
      </c>
      <c r="D42" s="254">
        <v>5955.6</v>
      </c>
      <c r="E42" s="254">
        <v>3604.19</v>
      </c>
      <c r="F42" s="254">
        <v>24929.3</v>
      </c>
      <c r="G42" s="254">
        <v>1716.56</v>
      </c>
      <c r="H42" s="254">
        <v>2921</v>
      </c>
    </row>
    <row r="43" spans="1:8" x14ac:dyDescent="0.15">
      <c r="A43" s="252" t="s">
        <v>153</v>
      </c>
      <c r="B43" s="253"/>
      <c r="C43" s="253"/>
      <c r="D43" s="253"/>
      <c r="E43" s="253"/>
      <c r="F43" s="253"/>
      <c r="G43" s="253"/>
      <c r="H43" s="253"/>
    </row>
    <row r="44" spans="1:8" x14ac:dyDescent="0.15">
      <c r="A44" s="252" t="s">
        <v>154</v>
      </c>
      <c r="B44" s="254"/>
      <c r="C44" s="254"/>
      <c r="D44" s="254"/>
      <c r="E44" s="254"/>
      <c r="F44" s="254"/>
      <c r="G44" s="254"/>
      <c r="H44" s="254"/>
    </row>
    <row r="45" spans="1:8" x14ac:dyDescent="0.15">
      <c r="A45" s="252" t="s">
        <v>155</v>
      </c>
      <c r="B45" s="253">
        <v>23308.95</v>
      </c>
      <c r="C45" s="253">
        <v>-2482.75</v>
      </c>
      <c r="D45" s="253">
        <v>5955.6</v>
      </c>
      <c r="E45" s="253">
        <v>3604.19</v>
      </c>
      <c r="F45" s="253">
        <v>24929.3</v>
      </c>
      <c r="G45" s="253">
        <v>1716.56</v>
      </c>
      <c r="H45" s="253">
        <v>2921</v>
      </c>
    </row>
    <row r="46" spans="1:8" x14ac:dyDescent="0.15">
      <c r="A46" s="252" t="s">
        <v>156</v>
      </c>
      <c r="B46" s="254"/>
      <c r="C46" s="254"/>
      <c r="D46" s="254"/>
      <c r="E46" s="254"/>
      <c r="F46" s="254"/>
      <c r="G46" s="254"/>
      <c r="H46" s="254"/>
    </row>
    <row r="47" spans="1:8" x14ac:dyDescent="0.15">
      <c r="A47" s="252" t="s">
        <v>157</v>
      </c>
      <c r="B47" s="253">
        <v>23308.95</v>
      </c>
      <c r="C47" s="253">
        <v>-2482.75</v>
      </c>
      <c r="D47" s="253">
        <v>5955.6</v>
      </c>
      <c r="E47" s="253">
        <v>3604.19</v>
      </c>
      <c r="F47" s="253">
        <v>24929.3</v>
      </c>
      <c r="G47" s="253">
        <v>1716.56</v>
      </c>
      <c r="H47" s="253">
        <v>2921</v>
      </c>
    </row>
    <row r="48" spans="1:8" x14ac:dyDescent="0.15">
      <c r="A48" s="252" t="s">
        <v>158</v>
      </c>
      <c r="B48" s="254"/>
      <c r="C48" s="254"/>
      <c r="D48" s="254"/>
      <c r="E48" s="254"/>
      <c r="F48" s="254"/>
      <c r="G48" s="254"/>
      <c r="H48" s="254"/>
    </row>
    <row r="49" spans="1:8" x14ac:dyDescent="0.15">
      <c r="A49" s="252" t="s">
        <v>159</v>
      </c>
      <c r="B49" s="253">
        <v>23308.95</v>
      </c>
      <c r="C49" s="253">
        <v>-2482.75</v>
      </c>
      <c r="D49" s="253">
        <v>5955.6</v>
      </c>
      <c r="E49" s="253">
        <v>3604.19</v>
      </c>
      <c r="F49" s="253">
        <v>24929.3</v>
      </c>
      <c r="G49" s="253">
        <v>1716.56</v>
      </c>
      <c r="H49" s="253">
        <v>2921</v>
      </c>
    </row>
    <row r="51" spans="1:8" x14ac:dyDescent="0.15">
      <c r="A51" s="255" t="s">
        <v>440</v>
      </c>
    </row>
    <row r="52" spans="1:8" x14ac:dyDescent="0.15">
      <c r="A52" s="255" t="s">
        <v>441</v>
      </c>
      <c r="C52" s="256">
        <f>C5/B5-1</f>
        <v>-0.56665109765521993</v>
      </c>
      <c r="D52" s="256">
        <f t="shared" ref="D52:H52" si="0">D5/C5-1</f>
        <v>0.47136823777200343</v>
      </c>
      <c r="E52" s="256">
        <f t="shared" si="0"/>
        <v>0.62150035600415943</v>
      </c>
      <c r="F52" s="256">
        <f t="shared" si="0"/>
        <v>0.23005586927661614</v>
      </c>
      <c r="G52" s="256">
        <f t="shared" si="0"/>
        <v>-0.42680493862565816</v>
      </c>
      <c r="H52" s="256">
        <f t="shared" si="0"/>
        <v>0.3403830883750405</v>
      </c>
    </row>
    <row r="53" spans="1:8" x14ac:dyDescent="0.15">
      <c r="A53" s="255" t="s">
        <v>442</v>
      </c>
      <c r="C53" s="256">
        <f>C45/B45-1</f>
        <v>-1.1065148794776256</v>
      </c>
      <c r="D53" s="256">
        <f t="shared" ref="D53:H53" si="1">D45/C45-1</f>
        <v>-3.3987916624710506</v>
      </c>
      <c r="E53" s="256">
        <f t="shared" si="1"/>
        <v>-0.39482335952716774</v>
      </c>
      <c r="F53" s="256">
        <f t="shared" si="1"/>
        <v>5.9167552210066612</v>
      </c>
      <c r="G53" s="256">
        <f t="shared" si="1"/>
        <v>-0.93114287204213519</v>
      </c>
      <c r="H53" s="256">
        <f t="shared" si="1"/>
        <v>0.7016591322179242</v>
      </c>
    </row>
    <row r="54" spans="1:8" x14ac:dyDescent="0.15">
      <c r="A54" s="255" t="s">
        <v>443</v>
      </c>
      <c r="B54" s="257">
        <f>(B5-B9)/B5</f>
        <v>0.31925304578025543</v>
      </c>
      <c r="C54" s="257">
        <f t="shared" ref="C54:H54" si="2">(C5-C9)/C5</f>
        <v>0.27175359891964618</v>
      </c>
      <c r="D54" s="257">
        <f t="shared" si="2"/>
        <v>0.26311785083519612</v>
      </c>
      <c r="E54" s="257">
        <f t="shared" si="2"/>
        <v>0.26337965157302573</v>
      </c>
      <c r="F54" s="257">
        <f t="shared" si="2"/>
        <v>0.33157449684889029</v>
      </c>
      <c r="G54" s="257">
        <f t="shared" si="2"/>
        <v>0.26842419182257776</v>
      </c>
      <c r="H54" s="257">
        <f t="shared" si="2"/>
        <v>0.25662868343527884</v>
      </c>
    </row>
    <row r="55" spans="1:8" x14ac:dyDescent="0.15">
      <c r="A55" s="255" t="s">
        <v>444</v>
      </c>
      <c r="B55" s="257">
        <f>B11/B5</f>
        <v>0.16042717689504302</v>
      </c>
      <c r="C55" s="257">
        <f t="shared" ref="C55:H55" si="3">C11/C5</f>
        <v>0.27249175750206234</v>
      </c>
      <c r="D55" s="257">
        <f t="shared" si="3"/>
        <v>0.21903551493600376</v>
      </c>
      <c r="E55" s="257">
        <f t="shared" si="3"/>
        <v>0.22209356441695421</v>
      </c>
      <c r="F55" s="257">
        <f t="shared" si="3"/>
        <v>0.19228047779378418</v>
      </c>
      <c r="G55" s="257">
        <f t="shared" si="3"/>
        <v>0.2281649189808872</v>
      </c>
      <c r="H55" s="257">
        <f t="shared" si="3"/>
        <v>0.21769680171260866</v>
      </c>
    </row>
    <row r="56" spans="1:8" x14ac:dyDescent="0.15">
      <c r="A56" s="255" t="s">
        <v>445</v>
      </c>
      <c r="B56" s="258">
        <f>B54-B55</f>
        <v>0.15882586888521241</v>
      </c>
      <c r="C56" s="258">
        <f t="shared" ref="C56:H56" si="4">C54-C55</f>
        <v>-7.3815858241615961E-4</v>
      </c>
      <c r="D56" s="258">
        <f t="shared" si="4"/>
        <v>4.408233589919236E-2</v>
      </c>
      <c r="E56" s="258">
        <f t="shared" si="4"/>
        <v>4.1286087156071516E-2</v>
      </c>
      <c r="F56" s="258">
        <f t="shared" si="4"/>
        <v>0.13929401905510611</v>
      </c>
      <c r="G56" s="258">
        <f t="shared" si="4"/>
        <v>4.0259272841690563E-2</v>
      </c>
      <c r="H56" s="258">
        <f t="shared" si="4"/>
        <v>3.8931881722670175E-2</v>
      </c>
    </row>
    <row r="57" spans="1:8" x14ac:dyDescent="0.15">
      <c r="A57" s="255" t="s">
        <v>446</v>
      </c>
      <c r="B57" s="257">
        <f>(B11+B12+B14)/B5</f>
        <v>0.17110504710039873</v>
      </c>
      <c r="C57" s="257">
        <f t="shared" ref="C57:H57" si="5">(C11+C12+C14)/C5</f>
        <v>0.28874004731869751</v>
      </c>
      <c r="D57" s="257">
        <f t="shared" si="5"/>
        <v>0.23486599783650178</v>
      </c>
      <c r="E57" s="257">
        <f t="shared" si="5"/>
        <v>0.23995925081551983</v>
      </c>
      <c r="F57" s="257">
        <f t="shared" si="5"/>
        <v>0.20301029514425342</v>
      </c>
      <c r="G57" s="257">
        <f t="shared" si="5"/>
        <v>0.24726379352007707</v>
      </c>
      <c r="H57" s="257">
        <f t="shared" si="5"/>
        <v>0.23609075090205978</v>
      </c>
    </row>
    <row r="58" spans="1:8" x14ac:dyDescent="0.15">
      <c r="A58" s="255" t="s">
        <v>447</v>
      </c>
      <c r="B58" s="257">
        <f>B37/B36</f>
        <v>0.25186752676355056</v>
      </c>
      <c r="C58" s="257">
        <f t="shared" ref="C58:H58" si="6">C37/C36</f>
        <v>5.3144426223256165E-2</v>
      </c>
      <c r="D58" s="257">
        <f t="shared" si="6"/>
        <v>0.17076023391812867</v>
      </c>
      <c r="E58" s="257">
        <f t="shared" si="6"/>
        <v>0.19310005149215304</v>
      </c>
      <c r="F58" s="257">
        <f t="shared" si="6"/>
        <v>0.26089374775045077</v>
      </c>
      <c r="G58" s="257">
        <f t="shared" si="6"/>
        <v>7.4336311818853432E-2</v>
      </c>
      <c r="H58" s="257">
        <f t="shared" si="6"/>
        <v>0.24282877717236337</v>
      </c>
    </row>
    <row r="59" spans="1:8" x14ac:dyDescent="0.15">
      <c r="A59" s="255" t="s">
        <v>448</v>
      </c>
      <c r="B59" s="257">
        <f>B45/B5</f>
        <v>0.10336991341459553</v>
      </c>
      <c r="C59" s="257">
        <f t="shared" ref="C59:H59" si="7">C45/C5</f>
        <v>-2.540778068063072E-2</v>
      </c>
      <c r="D59" s="257">
        <f t="shared" si="7"/>
        <v>4.1422650628152424E-2</v>
      </c>
      <c r="E59" s="257">
        <f t="shared" si="7"/>
        <v>1.5459768759101544E-2</v>
      </c>
      <c r="F59" s="257">
        <f t="shared" si="7"/>
        <v>8.6932178408251182E-2</v>
      </c>
      <c r="G59" s="257">
        <f t="shared" si="7"/>
        <v>1.0443042056155503E-2</v>
      </c>
      <c r="H59" s="257">
        <f t="shared" si="7"/>
        <v>1.325777536072632E-2</v>
      </c>
    </row>
  </sheetData>
  <phoneticPr fontId="52" type="noConversion"/>
  <conditionalFormatting sqref="B52:H59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108"/>
  <sheetViews>
    <sheetView showGridLines="0" zoomScale="85" zoomScaleNormal="85" workbookViewId="0">
      <pane xSplit="3" ySplit="3" topLeftCell="F39" activePane="bottomRight" state="frozen"/>
      <selection pane="topRight"/>
      <selection pane="bottomLeft"/>
      <selection pane="bottomRight" activeCell="C39" sqref="C39:N39"/>
    </sheetView>
  </sheetViews>
  <sheetFormatPr defaultColWidth="8.875" defaultRowHeight="13.5" x14ac:dyDescent="0.15"/>
  <cols>
    <col min="1" max="1" width="4.125" style="236" customWidth="1"/>
    <col min="2" max="2" width="0.875" style="236" customWidth="1"/>
    <col min="3" max="3" width="44.875" style="236" customWidth="1"/>
    <col min="4" max="14" width="12.75" style="236" customWidth="1"/>
    <col min="15" max="15" width="0.875" style="236" customWidth="1"/>
    <col min="16" max="16384" width="8.875" style="236"/>
  </cols>
  <sheetData>
    <row r="1" spans="2:18" s="233" customFormat="1" ht="12" customHeight="1" x14ac:dyDescent="0.15"/>
    <row r="2" spans="2:18" s="1" customFormat="1" ht="12" customHeight="1" x14ac:dyDescent="0.2">
      <c r="C2" s="4"/>
      <c r="H2" s="5"/>
    </row>
    <row r="3" spans="2:18" s="1" customFormat="1" ht="12" customHeight="1" x14ac:dyDescent="0.2">
      <c r="C3" s="6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</row>
    <row r="4" spans="2:18" s="2" customFormat="1" ht="23.1" customHeight="1" x14ac:dyDescent="0.2">
      <c r="C4" s="9"/>
      <c r="D4" s="10"/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2:18" s="2" customFormat="1" ht="6" customHeight="1" x14ac:dyDescent="0.2">
      <c r="B5" s="1"/>
      <c r="C5" s="6"/>
      <c r="D5" s="7"/>
      <c r="E5" s="7"/>
      <c r="F5" s="7"/>
      <c r="G5" s="7"/>
      <c r="H5" s="7"/>
      <c r="I5" s="8"/>
      <c r="J5" s="8"/>
      <c r="K5" s="8"/>
      <c r="L5" s="8"/>
      <c r="M5" s="8"/>
      <c r="N5" s="8"/>
      <c r="O5" s="8"/>
      <c r="P5" s="11"/>
      <c r="Q5" s="11"/>
      <c r="R5" s="11"/>
    </row>
    <row r="6" spans="2:18" s="204" customFormat="1" ht="24.95" customHeight="1" x14ac:dyDescent="0.15">
      <c r="B6" s="218"/>
      <c r="C6" s="208" t="s">
        <v>449</v>
      </c>
      <c r="D6" s="50">
        <v>2014</v>
      </c>
      <c r="E6" s="50">
        <v>2015</v>
      </c>
      <c r="F6" s="50">
        <v>2016</v>
      </c>
      <c r="G6" s="50">
        <v>2017</v>
      </c>
      <c r="H6" s="50">
        <v>2018</v>
      </c>
      <c r="I6" s="50" t="s">
        <v>450</v>
      </c>
      <c r="J6" s="50" t="s">
        <v>28</v>
      </c>
      <c r="K6" s="50" t="s">
        <v>29</v>
      </c>
      <c r="L6" s="50" t="s">
        <v>30</v>
      </c>
      <c r="M6" s="50" t="s">
        <v>31</v>
      </c>
      <c r="N6" s="50" t="s">
        <v>32</v>
      </c>
      <c r="O6" s="218"/>
    </row>
    <row r="7" spans="2:18" s="204" customFormat="1" ht="24.95" customHeight="1" x14ac:dyDescent="0.15">
      <c r="B7" s="218"/>
      <c r="C7" s="219" t="s">
        <v>451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18"/>
    </row>
    <row r="8" spans="2:18" s="204" customFormat="1" ht="24.95" customHeight="1" x14ac:dyDescent="0.15">
      <c r="B8" s="218"/>
      <c r="C8" s="193" t="s">
        <v>452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18"/>
    </row>
    <row r="9" spans="2:18" s="204" customFormat="1" ht="24.95" customHeight="1" x14ac:dyDescent="0.15">
      <c r="B9" s="218"/>
      <c r="C9" s="193" t="s">
        <v>453</v>
      </c>
      <c r="D9" s="238">
        <f>IS!D8/BS!D10</f>
        <v>22.453426890017465</v>
      </c>
      <c r="E9" s="238">
        <f>IS!E8/BS!E10</f>
        <v>29.395687324555663</v>
      </c>
      <c r="F9" s="238">
        <f>IS!F8/BS!F10</f>
        <v>22.91301935384266</v>
      </c>
      <c r="G9" s="238">
        <f>IS!G8/BS!G10</f>
        <v>39.614641090856701</v>
      </c>
      <c r="H9" s="238">
        <f>IS!H8/BS!H10</f>
        <v>23.05772527347667</v>
      </c>
      <c r="I9" s="238">
        <f>AVERAGE(D9:H9)</f>
        <v>27.486899986549833</v>
      </c>
      <c r="J9" s="242">
        <f>I9</f>
        <v>27.486899986549833</v>
      </c>
      <c r="K9" s="242">
        <f>J9+1</f>
        <v>28.486899986549833</v>
      </c>
      <c r="L9" s="242">
        <f>K9+1</f>
        <v>29.486899986549833</v>
      </c>
      <c r="M9" s="242">
        <f>L9+1</f>
        <v>30.486899986549833</v>
      </c>
      <c r="N9" s="242">
        <f>M9+1</f>
        <v>31.486899986549833</v>
      </c>
      <c r="O9" s="218"/>
    </row>
    <row r="10" spans="2:18" s="204" customFormat="1" ht="24.95" customHeight="1" x14ac:dyDescent="0.15">
      <c r="B10" s="218"/>
      <c r="C10" s="193" t="s">
        <v>454</v>
      </c>
      <c r="D10" s="238">
        <f>IS!D12/BS!D16</f>
        <v>2.0115755828096957</v>
      </c>
      <c r="E10" s="238">
        <f>IS!E12/BS!E16</f>
        <v>2.2683169068742037</v>
      </c>
      <c r="F10" s="238">
        <f>IS!F12/BS!F16</f>
        <v>2.6431949361678519</v>
      </c>
      <c r="G10" s="238">
        <f>IS!G12/BS!G16</f>
        <v>3.6301190396390846</v>
      </c>
      <c r="H10" s="238">
        <f>IS!H12/BS!H16</f>
        <v>4.0520623271781604</v>
      </c>
      <c r="I10" s="238">
        <f>AVERAGE(D10:H10)</f>
        <v>2.921053758533799</v>
      </c>
      <c r="J10" s="242">
        <f>H10+0.3</f>
        <v>4.3520623271781602</v>
      </c>
      <c r="K10" s="242">
        <f>J10+0.3</f>
        <v>4.65206232717816</v>
      </c>
      <c r="L10" s="242">
        <f>K10+0.2</f>
        <v>4.8520623271781602</v>
      </c>
      <c r="M10" s="242">
        <f>L10+0.2</f>
        <v>5.0520623271781604</v>
      </c>
      <c r="N10" s="242">
        <f>M10+0.1</f>
        <v>5.15206232717816</v>
      </c>
      <c r="O10" s="218"/>
    </row>
    <row r="11" spans="2:18" s="234" customFormat="1" ht="24.95" customHeight="1" x14ac:dyDescent="0.15">
      <c r="B11" s="218"/>
      <c r="C11" s="378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218"/>
    </row>
    <row r="12" spans="2:18" s="204" customFormat="1" ht="24.95" customHeight="1" x14ac:dyDescent="0.15">
      <c r="B12" s="218"/>
      <c r="C12" s="219" t="s">
        <v>455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18"/>
    </row>
    <row r="13" spans="2:18" s="234" customFormat="1" ht="24.95" customHeight="1" x14ac:dyDescent="0.15">
      <c r="B13" s="218"/>
      <c r="C13" s="378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218"/>
    </row>
    <row r="14" spans="2:18" s="204" customFormat="1" ht="24.95" customHeight="1" x14ac:dyDescent="0.15">
      <c r="B14" s="218"/>
      <c r="C14" s="219" t="s">
        <v>456</v>
      </c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18"/>
    </row>
    <row r="15" spans="2:18" s="204" customFormat="1" ht="24.95" customHeight="1" x14ac:dyDescent="0.15">
      <c r="B15" s="218"/>
      <c r="C15" s="193" t="s">
        <v>457</v>
      </c>
      <c r="D15" s="238">
        <f>IS!D12/BS!D35</f>
        <v>8.6174268259861311</v>
      </c>
      <c r="E15" s="238">
        <f>IS!E12/BS!E35</f>
        <v>34.728298227582002</v>
      </c>
      <c r="F15" s="238">
        <f>IS!F12/BS!F35</f>
        <v>353.24078354195746</v>
      </c>
      <c r="G15" s="238"/>
      <c r="H15" s="238"/>
      <c r="I15" s="238"/>
      <c r="J15" s="238"/>
      <c r="K15" s="238"/>
      <c r="L15" s="238"/>
      <c r="M15" s="238"/>
      <c r="N15" s="238"/>
      <c r="O15" s="218"/>
    </row>
    <row r="16" spans="2:18" s="204" customFormat="1" ht="24.95" customHeight="1" x14ac:dyDescent="0.15">
      <c r="B16" s="218"/>
      <c r="C16" s="193" t="s">
        <v>458</v>
      </c>
      <c r="D16" s="238">
        <f>IS!D12/BS!D36</f>
        <v>1.8596396824546486</v>
      </c>
      <c r="E16" s="238">
        <f>IS!E12/BS!E36</f>
        <v>2.8082636689989338</v>
      </c>
      <c r="F16" s="238">
        <f>IS!F12/BS!F36</f>
        <v>3.4889218603386496</v>
      </c>
      <c r="G16" s="238">
        <f>IS!G12/BS!G36</f>
        <v>4.3995890735052932</v>
      </c>
      <c r="H16" s="238">
        <f>IS!H12/BS!H36</f>
        <v>3.750534387369957</v>
      </c>
      <c r="I16" s="238">
        <f>AVERAGE(D16:H16)</f>
        <v>3.2613897345334961</v>
      </c>
      <c r="J16" s="242">
        <f>H16-0.2</f>
        <v>3.5505343873699569</v>
      </c>
      <c r="K16" s="242">
        <f>J16-0.2</f>
        <v>3.3505343873699567</v>
      </c>
      <c r="L16" s="242">
        <f>K16-0.2</f>
        <v>3.1505343873699565</v>
      </c>
      <c r="M16" s="242">
        <f>L16-0.2</f>
        <v>2.9505343873699563</v>
      </c>
      <c r="N16" s="242">
        <f>M16-0.2</f>
        <v>2.7505343873699561</v>
      </c>
      <c r="O16" s="218"/>
    </row>
    <row r="17" spans="2:18" s="234" customFormat="1" ht="24.95" customHeight="1" x14ac:dyDescent="0.15">
      <c r="B17" s="218"/>
      <c r="C17" s="378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218"/>
    </row>
    <row r="18" spans="2:18" s="204" customFormat="1" ht="24.95" customHeight="1" x14ac:dyDescent="0.15">
      <c r="B18" s="218"/>
      <c r="C18" s="219" t="s">
        <v>459</v>
      </c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18"/>
    </row>
    <row r="19" spans="2:18" ht="6" customHeight="1" x14ac:dyDescent="0.15"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</row>
    <row r="22" spans="2:18" s="2" customFormat="1" ht="6" customHeight="1" x14ac:dyDescent="0.2">
      <c r="B22" s="1"/>
      <c r="C22" s="6"/>
      <c r="D22" s="7"/>
      <c r="E22" s="7"/>
      <c r="F22" s="7"/>
      <c r="G22" s="7"/>
      <c r="H22" s="7"/>
      <c r="I22" s="8"/>
      <c r="J22" s="8"/>
      <c r="K22" s="8"/>
      <c r="L22" s="8"/>
      <c r="M22" s="8"/>
      <c r="N22" s="8"/>
      <c r="O22" s="8"/>
      <c r="P22" s="11"/>
      <c r="Q22" s="11"/>
      <c r="R22" s="11"/>
    </row>
    <row r="23" spans="2:18" s="204" customFormat="1" ht="24.95" customHeight="1" x14ac:dyDescent="0.15">
      <c r="B23" s="218"/>
      <c r="C23" s="208" t="s">
        <v>460</v>
      </c>
      <c r="D23" s="50">
        <v>2014</v>
      </c>
      <c r="E23" s="50">
        <v>2015</v>
      </c>
      <c r="F23" s="50">
        <v>2016</v>
      </c>
      <c r="G23" s="50">
        <v>2017</v>
      </c>
      <c r="H23" s="50">
        <v>2018</v>
      </c>
      <c r="I23" s="50" t="s">
        <v>450</v>
      </c>
      <c r="J23" s="50" t="s">
        <v>28</v>
      </c>
      <c r="K23" s="50" t="s">
        <v>29</v>
      </c>
      <c r="L23" s="50" t="s">
        <v>30</v>
      </c>
      <c r="M23" s="50" t="s">
        <v>31</v>
      </c>
      <c r="N23" s="50" t="s">
        <v>32</v>
      </c>
      <c r="O23" s="218"/>
    </row>
    <row r="24" spans="2:18" s="204" customFormat="1" ht="24.95" customHeight="1" x14ac:dyDescent="0.15">
      <c r="B24" s="218"/>
      <c r="C24" s="219" t="s">
        <v>461</v>
      </c>
      <c r="O24" s="218"/>
    </row>
    <row r="25" spans="2:18" s="204" customFormat="1" ht="24.95" customHeight="1" x14ac:dyDescent="0.15">
      <c r="B25" s="218"/>
      <c r="C25" s="193" t="s">
        <v>462</v>
      </c>
      <c r="D25" s="239">
        <f>BS!D49</f>
        <v>5000</v>
      </c>
      <c r="E25" s="239">
        <f>BS!E49</f>
        <v>30000</v>
      </c>
      <c r="F25" s="239">
        <f>BS!F49</f>
        <v>30600</v>
      </c>
      <c r="G25" s="239">
        <f>BS!G49</f>
        <v>36000</v>
      </c>
      <c r="H25" s="239">
        <f>BS!H49</f>
        <v>36000</v>
      </c>
      <c r="I25" s="237"/>
      <c r="J25" s="243">
        <v>40100</v>
      </c>
      <c r="K25" s="243">
        <f t="shared" ref="K25" si="0">J25</f>
        <v>40100</v>
      </c>
      <c r="L25" s="243">
        <f t="shared" ref="L25" si="1">K25</f>
        <v>40100</v>
      </c>
      <c r="M25" s="243">
        <f t="shared" ref="M25" si="2">L25</f>
        <v>40100</v>
      </c>
      <c r="N25" s="243">
        <f t="shared" ref="N25" si="3">M25</f>
        <v>40100</v>
      </c>
      <c r="O25" s="218"/>
    </row>
    <row r="26" spans="2:18" s="204" customFormat="1" ht="24.95" customHeight="1" x14ac:dyDescent="0.15">
      <c r="B26" s="218"/>
      <c r="C26" s="380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2"/>
      <c r="O26" s="218"/>
    </row>
    <row r="27" spans="2:18" s="204" customFormat="1" ht="24.95" customHeight="1" x14ac:dyDescent="0.15">
      <c r="B27" s="218"/>
      <c r="C27" s="219" t="s">
        <v>463</v>
      </c>
      <c r="D27" s="239">
        <f>CS!G26</f>
        <v>0</v>
      </c>
      <c r="E27" s="239">
        <f>CS!H26</f>
        <v>0</v>
      </c>
      <c r="F27" s="239">
        <f>CS!I26</f>
        <v>0</v>
      </c>
      <c r="G27" s="239">
        <f>CS!J26</f>
        <v>0</v>
      </c>
      <c r="H27" s="239">
        <f>CS!K26</f>
        <v>0</v>
      </c>
      <c r="I27" s="237"/>
      <c r="J27" s="239">
        <f>J28*IS!I7</f>
        <v>0</v>
      </c>
      <c r="K27" s="239">
        <f>K28*IS!J7</f>
        <v>0</v>
      </c>
      <c r="L27" s="239">
        <f>L28*IS!K7</f>
        <v>0</v>
      </c>
      <c r="M27" s="239">
        <f>M28*IS!L7</f>
        <v>0</v>
      </c>
      <c r="N27" s="239">
        <f>N28*IS!M7</f>
        <v>0</v>
      </c>
      <c r="O27" s="218"/>
    </row>
    <row r="28" spans="2:18" s="204" customFormat="1" ht="24.95" customHeight="1" x14ac:dyDescent="0.15">
      <c r="B28" s="218"/>
      <c r="C28" s="193" t="s">
        <v>464</v>
      </c>
      <c r="D28" s="194">
        <f>D27/IS!F7</f>
        <v>0</v>
      </c>
      <c r="E28" s="194">
        <f>E27/IS!G7</f>
        <v>0</v>
      </c>
      <c r="F28" s="194">
        <f>F27/IS!H7</f>
        <v>0</v>
      </c>
      <c r="G28" s="194">
        <f>G27/IS!I7</f>
        <v>0</v>
      </c>
      <c r="H28" s="194">
        <f>H27/IS!J7</f>
        <v>0</v>
      </c>
      <c r="I28" s="194">
        <f>AVERAGE(G28:H28)</f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18"/>
    </row>
    <row r="29" spans="2:18" s="204" customFormat="1" ht="24.95" customHeight="1" x14ac:dyDescent="0.15">
      <c r="B29" s="218"/>
      <c r="C29" s="380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2"/>
      <c r="O29" s="218"/>
    </row>
    <row r="30" spans="2:18" s="204" customFormat="1" ht="24.95" customHeight="1" x14ac:dyDescent="0.15">
      <c r="B30" s="218"/>
      <c r="C30" s="219" t="s">
        <v>465</v>
      </c>
      <c r="D30" s="240">
        <v>10018.33</v>
      </c>
      <c r="E30" s="240">
        <v>16600</v>
      </c>
      <c r="F30" s="240">
        <v>3750</v>
      </c>
      <c r="G30" s="240"/>
      <c r="H30" s="240"/>
      <c r="I30" s="237"/>
      <c r="J30" s="243">
        <v>60188</v>
      </c>
      <c r="K30" s="243">
        <v>0</v>
      </c>
      <c r="L30" s="243">
        <v>0</v>
      </c>
      <c r="M30" s="243">
        <v>0</v>
      </c>
      <c r="N30" s="243">
        <v>0</v>
      </c>
      <c r="O30" s="218"/>
    </row>
    <row r="31" spans="2:18" s="204" customFormat="1" ht="24.95" customHeight="1" x14ac:dyDescent="0.15">
      <c r="B31" s="218"/>
      <c r="C31" s="380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2"/>
      <c r="O31" s="218"/>
    </row>
    <row r="32" spans="2:18" s="204" customFormat="1" ht="24.95" customHeight="1" x14ac:dyDescent="0.15">
      <c r="B32" s="218"/>
      <c r="C32" s="219" t="s">
        <v>466</v>
      </c>
      <c r="D32" s="241"/>
      <c r="E32" s="241"/>
      <c r="F32" s="241"/>
      <c r="G32" s="241"/>
      <c r="H32" s="241"/>
      <c r="I32" s="170"/>
      <c r="J32" s="241"/>
      <c r="K32" s="241"/>
      <c r="L32" s="241"/>
      <c r="M32" s="241"/>
      <c r="N32" s="244"/>
      <c r="O32" s="218"/>
    </row>
    <row r="33" spans="2:18" s="204" customFormat="1" ht="24.95" customHeight="1" x14ac:dyDescent="0.15">
      <c r="B33" s="218"/>
      <c r="C33" s="193" t="s">
        <v>467</v>
      </c>
      <c r="D33" s="239">
        <v>5000</v>
      </c>
      <c r="E33" s="239">
        <v>30000</v>
      </c>
      <c r="F33" s="239">
        <v>30600</v>
      </c>
      <c r="G33" s="239">
        <v>36000</v>
      </c>
      <c r="H33" s="239">
        <v>36000</v>
      </c>
      <c r="I33" s="237"/>
      <c r="J33" s="243">
        <f>J25</f>
        <v>40100</v>
      </c>
      <c r="K33" s="243">
        <f>J33</f>
        <v>40100</v>
      </c>
      <c r="L33" s="243">
        <f t="shared" ref="L33:N33" si="4">K33</f>
        <v>40100</v>
      </c>
      <c r="M33" s="243">
        <f t="shared" si="4"/>
        <v>40100</v>
      </c>
      <c r="N33" s="243">
        <f t="shared" si="4"/>
        <v>40100</v>
      </c>
      <c r="O33" s="218"/>
    </row>
    <row r="34" spans="2:18" s="204" customFormat="1" ht="24.95" hidden="1" customHeight="1" x14ac:dyDescent="0.15">
      <c r="B34" s="218"/>
      <c r="C34" s="193" t="s">
        <v>468</v>
      </c>
      <c r="D34" s="239"/>
      <c r="E34" s="239"/>
      <c r="F34" s="239"/>
      <c r="G34" s="239"/>
      <c r="H34" s="239"/>
      <c r="I34" s="237"/>
      <c r="J34" s="243"/>
      <c r="K34" s="243"/>
      <c r="L34" s="243"/>
      <c r="M34" s="243"/>
      <c r="N34" s="243"/>
      <c r="O34" s="218"/>
    </row>
    <row r="35" spans="2:18" s="204" customFormat="1" ht="24.95" hidden="1" customHeight="1" x14ac:dyDescent="0.15">
      <c r="B35" s="218"/>
      <c r="C35" s="193" t="s">
        <v>469</v>
      </c>
      <c r="D35" s="239"/>
      <c r="E35" s="239"/>
      <c r="F35" s="239"/>
      <c r="G35" s="239"/>
      <c r="H35" s="239"/>
      <c r="I35" s="237"/>
      <c r="J35" s="243"/>
      <c r="K35" s="243"/>
      <c r="L35" s="243"/>
      <c r="M35" s="243"/>
      <c r="N35" s="243"/>
      <c r="O35" s="218"/>
    </row>
    <row r="36" spans="2:18" s="204" customFormat="1" ht="24.6" customHeight="1" x14ac:dyDescent="0.15">
      <c r="B36" s="218"/>
      <c r="C36" s="380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2"/>
      <c r="O36" s="218"/>
    </row>
    <row r="37" spans="2:18" s="204" customFormat="1" ht="24.95" customHeight="1" x14ac:dyDescent="0.15">
      <c r="B37" s="218"/>
      <c r="C37" s="219" t="s">
        <v>470</v>
      </c>
      <c r="D37" s="239">
        <f>IS!D40</f>
        <v>0</v>
      </c>
      <c r="E37" s="239">
        <f>IS!E40</f>
        <v>0</v>
      </c>
      <c r="F37" s="239">
        <f>IS!F40</f>
        <v>0</v>
      </c>
      <c r="G37" s="239">
        <f>IS!G40</f>
        <v>0</v>
      </c>
      <c r="H37" s="239">
        <f>IS!H40</f>
        <v>0</v>
      </c>
      <c r="I37" s="237"/>
      <c r="J37" s="243">
        <f>J38*IS!I39</f>
        <v>0</v>
      </c>
      <c r="K37" s="243">
        <f>K38*IS!J39</f>
        <v>0</v>
      </c>
      <c r="L37" s="243">
        <f>L38*IS!K39</f>
        <v>0</v>
      </c>
      <c r="M37" s="243">
        <f>M38*IS!L39</f>
        <v>18599.804034435114</v>
      </c>
      <c r="N37" s="243">
        <f>N38*IS!M39</f>
        <v>22898.767021224707</v>
      </c>
      <c r="O37" s="218"/>
    </row>
    <row r="38" spans="2:18" s="204" customFormat="1" ht="24.95" customHeight="1" x14ac:dyDescent="0.15">
      <c r="B38" s="218"/>
      <c r="C38" s="193" t="s">
        <v>471</v>
      </c>
      <c r="D38" s="194">
        <f>IS!D41</f>
        <v>0</v>
      </c>
      <c r="E38" s="194">
        <f>IS!E41</f>
        <v>0</v>
      </c>
      <c r="F38" s="194">
        <f>IS!F41</f>
        <v>0</v>
      </c>
      <c r="G38" s="194">
        <f>IS!G41</f>
        <v>0</v>
      </c>
      <c r="H38" s="194">
        <f>IS!H41</f>
        <v>0</v>
      </c>
      <c r="I38" s="194">
        <f>AVERAGE(D38:H38)</f>
        <v>0</v>
      </c>
      <c r="J38" s="223">
        <v>0</v>
      </c>
      <c r="K38" s="223">
        <v>0</v>
      </c>
      <c r="L38" s="223">
        <v>0</v>
      </c>
      <c r="M38" s="223">
        <v>0.3</v>
      </c>
      <c r="N38" s="223">
        <v>0.3</v>
      </c>
      <c r="O38" s="218"/>
    </row>
    <row r="39" spans="2:18" s="204" customFormat="1" ht="24.95" customHeight="1" x14ac:dyDescent="0.15">
      <c r="B39" s="218"/>
      <c r="C39" s="380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2"/>
      <c r="O39" s="218"/>
    </row>
    <row r="40" spans="2:18" s="204" customFormat="1" ht="24.95" customHeight="1" x14ac:dyDescent="0.15">
      <c r="B40" s="218"/>
      <c r="C40" s="219" t="s">
        <v>472</v>
      </c>
      <c r="D40" s="239">
        <f>BS!D50</f>
        <v>7862.87</v>
      </c>
      <c r="E40" s="239">
        <f>BS!E50</f>
        <v>360.25</v>
      </c>
      <c r="F40" s="239">
        <f>BS!F50</f>
        <v>29990.27</v>
      </c>
      <c r="G40" s="239">
        <f>BS!G50</f>
        <v>44791.92</v>
      </c>
      <c r="H40" s="239">
        <f>BS!H50</f>
        <v>75177.899999999994</v>
      </c>
      <c r="I40" s="237"/>
      <c r="J40" s="243">
        <f>H40+IS!I42-(J25-H25)+J30+J27</f>
        <v>167873.44324390526</v>
      </c>
      <c r="K40" s="243">
        <f>J40+IS!J42-(K25-J25)+K30+K27</f>
        <v>210771.07984479744</v>
      </c>
      <c r="L40" s="243">
        <f>K40+IS!K42-(L25-K25)+L30+L27</f>
        <v>262267.72265979386</v>
      </c>
      <c r="M40" s="243">
        <f>L40+IS!L42-(M25-L25)+M30+M27</f>
        <v>305667.26540680911</v>
      </c>
      <c r="N40" s="243">
        <f>M40+IS!M42-(N25-M25)+N30+N27</f>
        <v>359097.72178966674</v>
      </c>
      <c r="O40" s="218" t="s">
        <v>473</v>
      </c>
    </row>
    <row r="41" spans="2:18" ht="6" customHeight="1" x14ac:dyDescent="0.15"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</row>
    <row r="44" spans="2:18" s="2" customFormat="1" ht="6" customHeight="1" x14ac:dyDescent="0.2">
      <c r="B44" s="1"/>
      <c r="C44" s="6"/>
      <c r="D44" s="7"/>
      <c r="E44" s="7"/>
      <c r="F44" s="7"/>
      <c r="G44" s="7"/>
      <c r="H44" s="7"/>
      <c r="I44" s="8"/>
      <c r="J44" s="8"/>
      <c r="K44" s="8"/>
      <c r="L44" s="8"/>
      <c r="M44" s="8"/>
      <c r="N44" s="8"/>
      <c r="O44" s="8"/>
      <c r="P44" s="11"/>
      <c r="Q44" s="11"/>
      <c r="R44" s="11"/>
    </row>
    <row r="45" spans="2:18" s="204" customFormat="1" ht="24.95" customHeight="1" x14ac:dyDescent="0.15">
      <c r="B45" s="218"/>
      <c r="C45" s="208" t="s">
        <v>474</v>
      </c>
      <c r="D45" s="383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218"/>
    </row>
    <row r="46" spans="2:18" s="204" customFormat="1" ht="24.95" customHeight="1" x14ac:dyDescent="0.15">
      <c r="B46" s="218"/>
      <c r="C46" s="356" t="s">
        <v>475</v>
      </c>
      <c r="D46" s="385"/>
      <c r="E46" s="385"/>
      <c r="F46" s="385"/>
      <c r="G46" s="385"/>
      <c r="H46" s="385"/>
      <c r="I46" s="386"/>
      <c r="J46" s="245">
        <v>7.0000000000000007E-2</v>
      </c>
      <c r="K46" s="387"/>
      <c r="L46" s="388"/>
      <c r="M46" s="388"/>
      <c r="N46" s="388"/>
      <c r="O46" s="218"/>
    </row>
    <row r="47" spans="2:18" s="204" customFormat="1" ht="24.95" customHeight="1" x14ac:dyDescent="0.15">
      <c r="B47" s="218"/>
      <c r="C47" s="356" t="s">
        <v>476</v>
      </c>
      <c r="D47" s="385"/>
      <c r="E47" s="385"/>
      <c r="F47" s="385"/>
      <c r="G47" s="385"/>
      <c r="H47" s="385"/>
      <c r="I47" s="386"/>
      <c r="J47" s="245">
        <v>1.7999999999999999E-2</v>
      </c>
      <c r="K47" s="389"/>
      <c r="L47" s="390"/>
      <c r="M47" s="390"/>
      <c r="N47" s="390"/>
      <c r="O47" s="218"/>
    </row>
    <row r="48" spans="2:18" s="204" customFormat="1" ht="24.95" customHeight="1" x14ac:dyDescent="0.15">
      <c r="B48" s="218"/>
      <c r="C48" s="356" t="s">
        <v>477</v>
      </c>
      <c r="D48" s="385"/>
      <c r="E48" s="385"/>
      <c r="F48" s="385"/>
      <c r="G48" s="385"/>
      <c r="H48" s="385"/>
      <c r="I48" s="386"/>
      <c r="J48" s="245">
        <v>2.5999999999999999E-2</v>
      </c>
      <c r="K48" s="389"/>
      <c r="L48" s="390"/>
      <c r="M48" s="390"/>
      <c r="N48" s="390"/>
      <c r="O48" s="218"/>
    </row>
    <row r="49" spans="2:15" s="204" customFormat="1" ht="24.95" customHeight="1" x14ac:dyDescent="0.15">
      <c r="B49" s="218"/>
      <c r="C49" s="356" t="s">
        <v>478</v>
      </c>
      <c r="D49" s="385"/>
      <c r="E49" s="385"/>
      <c r="F49" s="385"/>
      <c r="G49" s="385"/>
      <c r="H49" s="385"/>
      <c r="I49" s="386"/>
      <c r="J49" s="245">
        <v>0</v>
      </c>
      <c r="K49" s="389"/>
      <c r="L49" s="390"/>
      <c r="M49" s="390"/>
      <c r="N49" s="390"/>
      <c r="O49" s="218"/>
    </row>
    <row r="50" spans="2:15" s="204" customFormat="1" ht="24.95" customHeight="1" x14ac:dyDescent="0.15">
      <c r="B50" s="218"/>
      <c r="C50" s="356" t="s">
        <v>479</v>
      </c>
      <c r="D50" s="385"/>
      <c r="E50" s="385"/>
      <c r="F50" s="385"/>
      <c r="G50" s="385"/>
      <c r="H50" s="385"/>
      <c r="I50" s="386"/>
      <c r="J50" s="246">
        <v>4.4999999999999998E-2</v>
      </c>
      <c r="K50" s="389"/>
      <c r="L50" s="390"/>
      <c r="M50" s="390"/>
      <c r="N50" s="390"/>
      <c r="O50" s="218"/>
    </row>
    <row r="51" spans="2:15" s="204" customFormat="1" ht="24.95" customHeight="1" x14ac:dyDescent="0.15">
      <c r="B51" s="218"/>
      <c r="C51" s="356" t="s">
        <v>480</v>
      </c>
      <c r="D51" s="385"/>
      <c r="E51" s="385"/>
      <c r="F51" s="385"/>
      <c r="G51" s="385"/>
      <c r="H51" s="385"/>
      <c r="I51" s="386"/>
      <c r="J51" s="246">
        <f>BS!H43/BS!H31</f>
        <v>0.40439254416613607</v>
      </c>
      <c r="K51" s="389"/>
      <c r="L51" s="390"/>
      <c r="M51" s="390"/>
      <c r="N51" s="390"/>
      <c r="O51" s="218" t="s">
        <v>473</v>
      </c>
    </row>
    <row r="52" spans="2:15" s="204" customFormat="1" ht="24.95" customHeight="1" x14ac:dyDescent="0.15">
      <c r="B52" s="218"/>
      <c r="C52" s="356" t="s">
        <v>481</v>
      </c>
      <c r="D52" s="385"/>
      <c r="E52" s="385"/>
      <c r="F52" s="385"/>
      <c r="G52" s="385"/>
      <c r="H52" s="385"/>
      <c r="I52" s="386"/>
      <c r="J52" s="246">
        <v>0.06</v>
      </c>
      <c r="K52" s="389"/>
      <c r="L52" s="390"/>
      <c r="M52" s="390"/>
      <c r="N52" s="390"/>
      <c r="O52" s="218"/>
    </row>
    <row r="53" spans="2:15" s="204" customFormat="1" ht="24.95" hidden="1" customHeight="1" x14ac:dyDescent="0.15">
      <c r="B53" s="218"/>
      <c r="C53" s="356" t="s">
        <v>482</v>
      </c>
      <c r="D53" s="385"/>
      <c r="E53" s="385"/>
      <c r="F53" s="385"/>
      <c r="G53" s="385"/>
      <c r="H53" s="385"/>
      <c r="I53" s="386"/>
      <c r="J53" s="246"/>
      <c r="K53" s="389"/>
      <c r="L53" s="390"/>
      <c r="M53" s="390"/>
      <c r="N53" s="390"/>
      <c r="O53" s="218"/>
    </row>
    <row r="54" spans="2:15" s="204" customFormat="1" ht="24.95" customHeight="1" x14ac:dyDescent="0.15">
      <c r="B54" s="218"/>
      <c r="C54" s="356" t="s">
        <v>483</v>
      </c>
      <c r="D54" s="385"/>
      <c r="E54" s="385"/>
      <c r="F54" s="385"/>
      <c r="G54" s="385"/>
      <c r="H54" s="385"/>
      <c r="I54" s="386"/>
      <c r="J54" s="246">
        <v>1</v>
      </c>
      <c r="K54" s="389"/>
      <c r="L54" s="390"/>
      <c r="M54" s="390"/>
      <c r="N54" s="390"/>
      <c r="O54" s="218"/>
    </row>
    <row r="55" spans="2:15" ht="6" customHeight="1" x14ac:dyDescent="0.15"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</row>
    <row r="108" spans="15:15" s="235" customFormat="1" x14ac:dyDescent="0.15">
      <c r="O108" s="235" t="s">
        <v>473</v>
      </c>
    </row>
  </sheetData>
  <mergeCells count="19">
    <mergeCell ref="C52:I52"/>
    <mergeCell ref="C53:I53"/>
    <mergeCell ref="C54:I54"/>
    <mergeCell ref="K46:N54"/>
    <mergeCell ref="C47:I47"/>
    <mergeCell ref="C48:I48"/>
    <mergeCell ref="C49:I49"/>
    <mergeCell ref="C50:I50"/>
    <mergeCell ref="C51:I51"/>
    <mergeCell ref="C31:N31"/>
    <mergeCell ref="C36:N36"/>
    <mergeCell ref="C39:N39"/>
    <mergeCell ref="D45:N45"/>
    <mergeCell ref="C46:I46"/>
    <mergeCell ref="C11:N11"/>
    <mergeCell ref="C13:N13"/>
    <mergeCell ref="C17:N17"/>
    <mergeCell ref="C26:N26"/>
    <mergeCell ref="C29:N29"/>
  </mergeCells>
  <phoneticPr fontId="5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17"/>
  <sheetViews>
    <sheetView showGridLines="0" zoomScale="85" zoomScaleNormal="85" workbookViewId="0">
      <pane ySplit="3" topLeftCell="A4" activePane="bottomLeft" state="frozen"/>
      <selection pane="bottomLeft" activeCell="N8" sqref="N8"/>
    </sheetView>
  </sheetViews>
  <sheetFormatPr defaultColWidth="9" defaultRowHeight="16.5" x14ac:dyDescent="0.15"/>
  <cols>
    <col min="1" max="1" width="4.125" style="67" customWidth="1"/>
    <col min="2" max="2" width="0.875" style="110" customWidth="1"/>
    <col min="3" max="3" width="31.625" style="67" customWidth="1"/>
    <col min="4" max="11" width="15" style="67" customWidth="1"/>
    <col min="12" max="12" width="0.875" style="110" customWidth="1"/>
    <col min="13" max="13" width="9" style="67"/>
    <col min="14" max="14" width="11.25" style="67" customWidth="1"/>
    <col min="15" max="16384" width="9" style="67"/>
  </cols>
  <sheetData>
    <row r="1" spans="2:16" s="110" customFormat="1" ht="12" customHeight="1" x14ac:dyDescent="0.15"/>
    <row r="2" spans="2:16" s="182" customFormat="1" ht="12" customHeight="1" x14ac:dyDescent="0.15">
      <c r="C2" s="205"/>
      <c r="F2" s="185"/>
    </row>
    <row r="3" spans="2:16" s="182" customFormat="1" ht="12" customHeight="1" x14ac:dyDescent="0.15">
      <c r="C3" s="206"/>
      <c r="D3" s="187"/>
      <c r="E3" s="187"/>
      <c r="F3" s="187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2:16" s="183" customFormat="1" ht="23.1" customHeight="1" x14ac:dyDescent="0.15">
      <c r="C4" s="207"/>
      <c r="D4" s="189"/>
      <c r="E4" s="189"/>
      <c r="F4" s="189"/>
      <c r="G4" s="202"/>
      <c r="H4" s="202"/>
      <c r="I4" s="202"/>
      <c r="J4" s="202"/>
      <c r="K4" s="202"/>
      <c r="L4" s="202"/>
      <c r="M4" s="202"/>
      <c r="N4" s="202"/>
      <c r="O4" s="202"/>
      <c r="P4" s="202"/>
    </row>
    <row r="5" spans="2:16" s="183" customFormat="1" ht="6" customHeight="1" x14ac:dyDescent="0.15">
      <c r="B5" s="182"/>
      <c r="C5" s="206"/>
      <c r="D5" s="187"/>
      <c r="E5" s="187"/>
      <c r="F5" s="187"/>
      <c r="G5" s="201"/>
      <c r="H5" s="201"/>
      <c r="I5" s="201"/>
      <c r="J5" s="201"/>
      <c r="K5" s="201"/>
      <c r="L5" s="201"/>
      <c r="M5" s="202"/>
      <c r="N5" s="202"/>
      <c r="O5" s="202"/>
      <c r="P5" s="202"/>
    </row>
    <row r="6" spans="2:16" s="155" customFormat="1" ht="24.95" customHeight="1" x14ac:dyDescent="0.15">
      <c r="B6" s="110"/>
      <c r="C6" s="208" t="s">
        <v>484</v>
      </c>
      <c r="D6" s="50">
        <v>2016</v>
      </c>
      <c r="E6" s="50">
        <v>2017</v>
      </c>
      <c r="F6" s="50">
        <v>2018</v>
      </c>
      <c r="G6" s="50" t="s">
        <v>28</v>
      </c>
      <c r="H6" s="50" t="s">
        <v>29</v>
      </c>
      <c r="I6" s="50" t="s">
        <v>30</v>
      </c>
      <c r="J6" s="50" t="s">
        <v>31</v>
      </c>
      <c r="K6" s="50" t="s">
        <v>32</v>
      </c>
      <c r="L6" s="173"/>
      <c r="M6" s="229"/>
    </row>
    <row r="7" spans="2:16" s="155" customFormat="1" ht="24.95" customHeight="1" x14ac:dyDescent="0.15">
      <c r="B7" s="110"/>
      <c r="C7" s="209" t="s">
        <v>485</v>
      </c>
      <c r="D7" s="210"/>
      <c r="E7" s="210"/>
      <c r="F7" s="211"/>
      <c r="G7" s="212"/>
      <c r="H7" s="212"/>
      <c r="I7" s="212"/>
      <c r="J7" s="212"/>
      <c r="K7" s="212"/>
      <c r="L7" s="173"/>
      <c r="M7" s="229"/>
      <c r="N7" s="229"/>
      <c r="O7" s="229"/>
    </row>
    <row r="8" spans="2:16" s="155" customFormat="1" ht="24.95" customHeight="1" x14ac:dyDescent="0.15">
      <c r="B8" s="110"/>
      <c r="C8" s="209" t="s">
        <v>486</v>
      </c>
      <c r="D8" s="210">
        <f>D32</f>
        <v>10325.52</v>
      </c>
      <c r="E8" s="210">
        <f t="shared" ref="E8:F8" si="0">E32</f>
        <v>13650.939999999999</v>
      </c>
      <c r="F8" s="210">
        <f t="shared" si="0"/>
        <v>6073.1699999999983</v>
      </c>
      <c r="G8" s="212">
        <f>F8*(1+400%)</f>
        <v>30365.849999999991</v>
      </c>
      <c r="H8" s="212">
        <f>G8*(1+100%)</f>
        <v>60731.699999999983</v>
      </c>
      <c r="I8" s="212">
        <v>16000</v>
      </c>
      <c r="J8" s="212">
        <f>I8+1000</f>
        <v>17000</v>
      </c>
      <c r="K8" s="212">
        <f>J8+1000</f>
        <v>18000</v>
      </c>
      <c r="L8" s="173"/>
      <c r="M8" s="229"/>
      <c r="N8" s="229"/>
      <c r="O8" s="229"/>
    </row>
    <row r="9" spans="2:16" s="155" customFormat="1" ht="24.95" customHeight="1" x14ac:dyDescent="0.15">
      <c r="B9" s="110"/>
      <c r="C9" s="209" t="s">
        <v>487</v>
      </c>
      <c r="D9" s="210"/>
      <c r="E9" s="210"/>
      <c r="F9" s="210"/>
      <c r="G9" s="212"/>
      <c r="H9" s="212"/>
      <c r="I9" s="212"/>
      <c r="J9" s="212"/>
      <c r="K9" s="212"/>
      <c r="L9" s="173"/>
      <c r="M9" s="229"/>
      <c r="N9" s="229"/>
      <c r="O9" s="229"/>
    </row>
    <row r="10" spans="2:16" s="155" customFormat="1" ht="24.95" customHeight="1" x14ac:dyDescent="0.15">
      <c r="B10" s="110"/>
      <c r="C10" s="209" t="s">
        <v>488</v>
      </c>
      <c r="D10" s="210">
        <f t="shared" ref="D10:F10" si="1">D57</f>
        <v>2350.79</v>
      </c>
      <c r="E10" s="210">
        <f t="shared" si="1"/>
        <v>2814.4</v>
      </c>
      <c r="F10" s="210">
        <f t="shared" si="1"/>
        <v>5690.1100000000006</v>
      </c>
      <c r="G10" s="212">
        <f>F10*(1+100%)</f>
        <v>11380.220000000001</v>
      </c>
      <c r="H10" s="212">
        <f>G10*(1+50%)</f>
        <v>17070.330000000002</v>
      </c>
      <c r="I10" s="212">
        <v>6000</v>
      </c>
      <c r="J10" s="212">
        <f>I10+1000</f>
        <v>7000</v>
      </c>
      <c r="K10" s="212">
        <f>J10+1000</f>
        <v>8000</v>
      </c>
      <c r="L10" s="173"/>
      <c r="M10" s="229"/>
    </row>
    <row r="11" spans="2:16" s="155" customFormat="1" ht="24.95" customHeight="1" x14ac:dyDescent="0.15">
      <c r="B11" s="110"/>
      <c r="C11" s="209" t="s">
        <v>489</v>
      </c>
      <c r="D11" s="210"/>
      <c r="E11" s="210">
        <f t="shared" ref="E11:F11" si="2">E70</f>
        <v>0</v>
      </c>
      <c r="F11" s="210">
        <f t="shared" si="2"/>
        <v>1318.7651490000001</v>
      </c>
      <c r="G11" s="212">
        <f>F11*(1+IS!I9)</f>
        <v>1582.0684044378809</v>
      </c>
      <c r="H11" s="212">
        <f>G11*(1+IS!J9-5%)</f>
        <v>1718.5625384958259</v>
      </c>
      <c r="I11" s="212">
        <f>H11*(1+IS!K9-5%)</f>
        <v>1922.6613010461851</v>
      </c>
      <c r="J11" s="212">
        <f>I11*(1+IS!L9-5%)</f>
        <v>2206.4322551298624</v>
      </c>
      <c r="K11" s="212">
        <f>J11*(1+IS!M9-5%)</f>
        <v>2625.4192027612244</v>
      </c>
      <c r="L11" s="173"/>
      <c r="M11" s="229"/>
    </row>
    <row r="12" spans="2:16" s="155" customFormat="1" ht="24.95" customHeight="1" x14ac:dyDescent="0.15">
      <c r="B12" s="110"/>
      <c r="C12" s="209" t="s">
        <v>490</v>
      </c>
      <c r="D12" s="210">
        <f>BS!F20-BS!E20-IS!F20</f>
        <v>200</v>
      </c>
      <c r="E12" s="210">
        <f>BS!G20-BS!F20-IS!G20</f>
        <v>205.51999999999998</v>
      </c>
      <c r="F12" s="210">
        <f>BS!H20-BS!G20-IS!H20</f>
        <v>10.159999999999986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173"/>
      <c r="M12" s="229"/>
    </row>
    <row r="13" spans="2:16" s="155" customFormat="1" ht="24.95" customHeight="1" x14ac:dyDescent="0.15">
      <c r="B13" s="110"/>
      <c r="C13" s="209" t="s">
        <v>491</v>
      </c>
      <c r="D13" s="210">
        <f>SUM(D7:D12)</f>
        <v>12876.310000000001</v>
      </c>
      <c r="E13" s="210">
        <f t="shared" ref="E13:K13" si="3">SUM(E7:E12)</f>
        <v>16670.86</v>
      </c>
      <c r="F13" s="210">
        <f t="shared" si="3"/>
        <v>13092.205148999999</v>
      </c>
      <c r="G13" s="210">
        <f t="shared" si="3"/>
        <v>43328.138404437872</v>
      </c>
      <c r="H13" s="210">
        <f t="shared" si="3"/>
        <v>79520.59253849581</v>
      </c>
      <c r="I13" s="210">
        <f t="shared" si="3"/>
        <v>23922.661301046184</v>
      </c>
      <c r="J13" s="210">
        <f t="shared" si="3"/>
        <v>26206.432255129861</v>
      </c>
      <c r="K13" s="210">
        <f t="shared" si="3"/>
        <v>28625.419202761223</v>
      </c>
      <c r="L13" s="173"/>
      <c r="M13" s="229"/>
    </row>
    <row r="14" spans="2:16" s="155" customFormat="1" ht="6" customHeight="1" x14ac:dyDescent="0.15">
      <c r="B14" s="110"/>
      <c r="C14" s="110"/>
      <c r="D14" s="213"/>
      <c r="E14" s="213"/>
      <c r="F14" s="213"/>
      <c r="G14" s="213"/>
      <c r="H14" s="213"/>
      <c r="I14" s="213"/>
      <c r="J14" s="213"/>
      <c r="K14" s="213"/>
      <c r="L14" s="173"/>
      <c r="M14" s="229"/>
    </row>
    <row r="15" spans="2:16" s="118" customFormat="1" ht="13.5" x14ac:dyDescent="0.15">
      <c r="D15" s="214"/>
    </row>
    <row r="16" spans="2:16" s="118" customFormat="1" ht="13.5" x14ac:dyDescent="0.15">
      <c r="E16" s="215"/>
      <c r="F16" s="216"/>
    </row>
    <row r="17" spans="2:16" s="116" customFormat="1" ht="6" customHeight="1" x14ac:dyDescent="0.15">
      <c r="B17" s="115"/>
      <c r="C17" s="217"/>
      <c r="D17" s="123"/>
      <c r="E17" s="123"/>
      <c r="F17" s="123"/>
      <c r="G17" s="138"/>
      <c r="H17" s="138"/>
      <c r="I17" s="138"/>
      <c r="J17" s="138"/>
      <c r="K17" s="138"/>
      <c r="L17" s="138"/>
      <c r="M17" s="140"/>
      <c r="N17" s="140"/>
      <c r="O17" s="140"/>
      <c r="P17" s="140"/>
    </row>
    <row r="18" spans="2:16" s="204" customFormat="1" ht="24.95" customHeight="1" x14ac:dyDescent="0.15">
      <c r="B18" s="218"/>
      <c r="C18" s="208" t="s">
        <v>492</v>
      </c>
      <c r="D18" s="50">
        <v>2016</v>
      </c>
      <c r="E18" s="50">
        <v>2017</v>
      </c>
      <c r="F18" s="50">
        <v>2018</v>
      </c>
      <c r="G18" s="50" t="s">
        <v>28</v>
      </c>
      <c r="H18" s="50" t="s">
        <v>29</v>
      </c>
      <c r="I18" s="50" t="s">
        <v>30</v>
      </c>
      <c r="J18" s="50" t="s">
        <v>31</v>
      </c>
      <c r="K18" s="50" t="s">
        <v>32</v>
      </c>
      <c r="L18" s="110"/>
    </row>
    <row r="19" spans="2:16" s="204" customFormat="1" ht="24.95" customHeight="1" x14ac:dyDescent="0.15">
      <c r="B19" s="218"/>
      <c r="C19" s="219" t="s">
        <v>493</v>
      </c>
      <c r="D19" s="220">
        <v>0</v>
      </c>
      <c r="E19" s="220">
        <v>0</v>
      </c>
      <c r="F19" s="220">
        <v>0</v>
      </c>
      <c r="G19" s="171"/>
      <c r="H19" s="171"/>
      <c r="I19" s="171"/>
      <c r="J19" s="171"/>
      <c r="K19" s="171"/>
      <c r="L19" s="110"/>
    </row>
    <row r="20" spans="2:16" s="204" customFormat="1" ht="24.95" customHeight="1" x14ac:dyDescent="0.15">
      <c r="B20" s="218"/>
      <c r="C20" s="193" t="s">
        <v>494</v>
      </c>
      <c r="D20" s="211">
        <v>0</v>
      </c>
      <c r="E20" s="211">
        <v>0</v>
      </c>
      <c r="F20" s="211">
        <v>0</v>
      </c>
      <c r="G20" s="129"/>
      <c r="H20" s="129"/>
      <c r="I20" s="129"/>
      <c r="J20" s="129"/>
      <c r="K20" s="129"/>
      <c r="L20" s="110"/>
    </row>
    <row r="21" spans="2:16" s="204" customFormat="1" ht="24.95" customHeight="1" x14ac:dyDescent="0.15">
      <c r="B21" s="218"/>
      <c r="C21" s="193"/>
      <c r="D21" s="221"/>
      <c r="E21" s="221"/>
      <c r="F21" s="221"/>
      <c r="G21" s="171"/>
      <c r="H21" s="171"/>
      <c r="I21" s="171"/>
      <c r="J21" s="171"/>
      <c r="K21" s="171"/>
      <c r="L21" s="110"/>
    </row>
    <row r="22" spans="2:16" s="204" customFormat="1" ht="24.95" customHeight="1" x14ac:dyDescent="0.15">
      <c r="B22" s="218"/>
      <c r="C22" s="193" t="s">
        <v>495</v>
      </c>
      <c r="D22" s="220">
        <v>0</v>
      </c>
      <c r="E22" s="220">
        <v>0</v>
      </c>
      <c r="F22" s="220">
        <v>0</v>
      </c>
      <c r="G22" s="171"/>
      <c r="H22" s="171"/>
      <c r="I22" s="171"/>
      <c r="J22" s="171"/>
      <c r="K22" s="171"/>
      <c r="L22" s="110"/>
    </row>
    <row r="23" spans="2:16" s="204" customFormat="1" ht="24.95" customHeight="1" x14ac:dyDescent="0.15">
      <c r="B23" s="218"/>
      <c r="C23" s="222" t="s">
        <v>496</v>
      </c>
      <c r="D23" s="197">
        <v>0</v>
      </c>
      <c r="E23" s="197">
        <v>0</v>
      </c>
      <c r="F23" s="197">
        <v>0</v>
      </c>
      <c r="G23" s="223"/>
      <c r="H23" s="223"/>
      <c r="I23" s="223"/>
      <c r="J23" s="223"/>
      <c r="K23" s="223"/>
      <c r="L23" s="110"/>
    </row>
    <row r="24" spans="2:16" s="204" customFormat="1" ht="24.95" customHeight="1" x14ac:dyDescent="0.15">
      <c r="B24" s="218"/>
      <c r="C24" s="193"/>
      <c r="D24" s="221"/>
      <c r="E24" s="221"/>
      <c r="F24" s="221"/>
      <c r="G24" s="171"/>
      <c r="H24" s="171"/>
      <c r="I24" s="171"/>
      <c r="J24" s="171"/>
      <c r="K24" s="171"/>
      <c r="L24" s="110"/>
    </row>
    <row r="25" spans="2:16" s="204" customFormat="1" ht="24.95" customHeight="1" x14ac:dyDescent="0.15">
      <c r="B25" s="218"/>
      <c r="C25" s="219" t="s">
        <v>497</v>
      </c>
      <c r="D25" s="220">
        <v>0</v>
      </c>
      <c r="E25" s="220">
        <v>0</v>
      </c>
      <c r="F25" s="220">
        <v>0</v>
      </c>
      <c r="G25" s="220"/>
      <c r="H25" s="220"/>
      <c r="I25" s="220"/>
      <c r="J25" s="220"/>
      <c r="K25" s="220"/>
      <c r="L25" s="110"/>
    </row>
    <row r="26" spans="2:16" s="118" customFormat="1" ht="6" customHeight="1" x14ac:dyDescent="0.15"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7"/>
    </row>
    <row r="27" spans="2:16" s="118" customFormat="1" ht="13.5" x14ac:dyDescent="0.15"/>
    <row r="28" spans="2:16" s="118" customFormat="1" ht="13.5" x14ac:dyDescent="0.15">
      <c r="E28" s="215"/>
      <c r="F28" s="216"/>
    </row>
    <row r="29" spans="2:16" s="116" customFormat="1" ht="6" customHeight="1" x14ac:dyDescent="0.15">
      <c r="B29" s="115"/>
      <c r="C29" s="217"/>
      <c r="D29" s="123"/>
      <c r="E29" s="123"/>
      <c r="F29" s="123"/>
      <c r="G29" s="138"/>
      <c r="H29" s="138"/>
      <c r="I29" s="138"/>
      <c r="J29" s="138"/>
      <c r="K29" s="138"/>
      <c r="L29" s="138"/>
      <c r="M29" s="140"/>
      <c r="N29" s="140"/>
      <c r="O29" s="140"/>
      <c r="P29" s="140"/>
    </row>
    <row r="30" spans="2:16" s="204" customFormat="1" ht="24.95" customHeight="1" x14ac:dyDescent="0.15">
      <c r="B30" s="218"/>
      <c r="C30" s="208" t="s">
        <v>498</v>
      </c>
      <c r="D30" s="50">
        <v>2016</v>
      </c>
      <c r="E30" s="50">
        <v>2017</v>
      </c>
      <c r="F30" s="50">
        <v>2018</v>
      </c>
      <c r="G30" s="50" t="s">
        <v>28</v>
      </c>
      <c r="H30" s="50" t="s">
        <v>29</v>
      </c>
      <c r="I30" s="50" t="s">
        <v>30</v>
      </c>
      <c r="J30" s="50" t="s">
        <v>31</v>
      </c>
      <c r="K30" s="50" t="s">
        <v>32</v>
      </c>
      <c r="L30" s="110"/>
    </row>
    <row r="31" spans="2:16" s="204" customFormat="1" ht="24.95" customHeight="1" x14ac:dyDescent="0.15">
      <c r="B31" s="218"/>
      <c r="C31" s="219" t="s">
        <v>493</v>
      </c>
      <c r="D31" s="220">
        <f>BS!E22</f>
        <v>8852.86</v>
      </c>
      <c r="E31" s="220">
        <f>BS!F22</f>
        <v>17201.59</v>
      </c>
      <c r="F31" s="220">
        <f>BS!G22</f>
        <v>26610.48</v>
      </c>
      <c r="G31" s="171">
        <f>F37</f>
        <v>25531.35</v>
      </c>
      <c r="H31" s="171">
        <f t="shared" ref="H31:K31" si="4">G37</f>
        <v>48446.518349999991</v>
      </c>
      <c r="I31" s="171">
        <f t="shared" si="4"/>
        <v>88515.729455999986</v>
      </c>
      <c r="J31" s="171">
        <f t="shared" si="4"/>
        <v>117001.17210965998</v>
      </c>
      <c r="K31" s="171">
        <f t="shared" si="4"/>
        <v>117297.59617355757</v>
      </c>
      <c r="L31" s="110"/>
    </row>
    <row r="32" spans="2:16" s="204" customFormat="1" ht="24.95" customHeight="1" x14ac:dyDescent="0.15">
      <c r="B32" s="218"/>
      <c r="C32" s="193" t="s">
        <v>494</v>
      </c>
      <c r="D32" s="211">
        <f t="shared" ref="D32:F32" si="5">D37-(D31-D34)</f>
        <v>10325.52</v>
      </c>
      <c r="E32" s="211">
        <f t="shared" si="5"/>
        <v>13650.939999999999</v>
      </c>
      <c r="F32" s="211">
        <f t="shared" si="5"/>
        <v>6073.1699999999983</v>
      </c>
      <c r="G32" s="211">
        <f>G8-(G38-F38)</f>
        <v>28483.39499999999</v>
      </c>
      <c r="H32" s="211">
        <f t="shared" ref="H32:K32" si="6">H8-(H38-G38)</f>
        <v>50378.19749999998</v>
      </c>
      <c r="I32" s="211">
        <f t="shared" si="6"/>
        <v>43954.456749999998</v>
      </c>
      <c r="J32" s="211">
        <f t="shared" si="6"/>
        <v>17931.815224999998</v>
      </c>
      <c r="K32" s="211">
        <f t="shared" si="6"/>
        <v>18217.4235525</v>
      </c>
      <c r="L32" s="110"/>
    </row>
    <row r="33" spans="2:16" s="204" customFormat="1" ht="24.95" customHeight="1" x14ac:dyDescent="0.15">
      <c r="B33" s="218"/>
      <c r="C33" s="193"/>
      <c r="D33" s="221"/>
      <c r="E33" s="221"/>
      <c r="F33" s="221"/>
      <c r="G33" s="171"/>
      <c r="H33" s="171"/>
      <c r="I33" s="171"/>
      <c r="J33" s="171"/>
      <c r="K33" s="171"/>
      <c r="L33" s="110"/>
    </row>
    <row r="34" spans="2:16" s="204" customFormat="1" ht="24.95" customHeight="1" x14ac:dyDescent="0.15">
      <c r="B34" s="218"/>
      <c r="C34" s="193" t="s">
        <v>495</v>
      </c>
      <c r="D34" s="220">
        <v>1976.79</v>
      </c>
      <c r="E34" s="220">
        <v>4242.05</v>
      </c>
      <c r="F34" s="220">
        <v>7152.3</v>
      </c>
      <c r="G34" s="224">
        <f>(G31+G32/2)*G35</f>
        <v>5568.2266499999996</v>
      </c>
      <c r="H34" s="224">
        <f t="shared" ref="H34:K34" si="7">(H31+H32/2)*H35</f>
        <v>10308.986393999998</v>
      </c>
      <c r="I34" s="224">
        <f t="shared" si="7"/>
        <v>15469.014096339999</v>
      </c>
      <c r="J34" s="224">
        <f t="shared" si="7"/>
        <v>17635.391161102398</v>
      </c>
      <c r="K34" s="224">
        <f t="shared" si="7"/>
        <v>17696.883112973061</v>
      </c>
      <c r="L34" s="110"/>
    </row>
    <row r="35" spans="2:16" s="204" customFormat="1" ht="24.95" customHeight="1" x14ac:dyDescent="0.15">
      <c r="B35" s="218"/>
      <c r="C35" s="222" t="s">
        <v>496</v>
      </c>
      <c r="D35" s="225">
        <f t="shared" ref="D35:F35" si="8">D34/(D31+D32/2)</f>
        <v>0.14104192322565823</v>
      </c>
      <c r="E35" s="225">
        <f t="shared" si="8"/>
        <v>0.17655301980350491</v>
      </c>
      <c r="F35" s="225">
        <f t="shared" si="8"/>
        <v>0.24124816402568014</v>
      </c>
      <c r="G35" s="223">
        <v>0.14000000000000001</v>
      </c>
      <c r="H35" s="223">
        <v>0.14000000000000001</v>
      </c>
      <c r="I35" s="223">
        <v>0.14000000000000001</v>
      </c>
      <c r="J35" s="223">
        <v>0.14000000000000001</v>
      </c>
      <c r="K35" s="223">
        <v>0.14000000000000001</v>
      </c>
      <c r="L35" s="110"/>
      <c r="N35" s="230"/>
    </row>
    <row r="36" spans="2:16" s="204" customFormat="1" ht="24.95" customHeight="1" x14ac:dyDescent="0.15">
      <c r="B36" s="218"/>
      <c r="C36" s="193"/>
      <c r="D36" s="221"/>
      <c r="E36" s="221"/>
      <c r="F36" s="221"/>
      <c r="G36" s="171"/>
      <c r="H36" s="171"/>
      <c r="I36" s="171"/>
      <c r="J36" s="171"/>
      <c r="K36" s="171"/>
      <c r="L36" s="110"/>
    </row>
    <row r="37" spans="2:16" s="204" customFormat="1" ht="24.95" customHeight="1" x14ac:dyDescent="0.15">
      <c r="B37" s="218"/>
      <c r="C37" s="219" t="s">
        <v>497</v>
      </c>
      <c r="D37" s="220">
        <f>BS!F22</f>
        <v>17201.59</v>
      </c>
      <c r="E37" s="220">
        <f>BS!G22</f>
        <v>26610.48</v>
      </c>
      <c r="F37" s="220">
        <f>BS!H22</f>
        <v>25531.35</v>
      </c>
      <c r="G37" s="220">
        <f>G31+G32-G34</f>
        <v>48446.518349999991</v>
      </c>
      <c r="H37" s="220">
        <f t="shared" ref="H37:K37" si="9">H31+H32-H34</f>
        <v>88515.729455999986</v>
      </c>
      <c r="I37" s="220">
        <f t="shared" si="9"/>
        <v>117001.17210965998</v>
      </c>
      <c r="J37" s="220">
        <f t="shared" si="9"/>
        <v>117297.59617355757</v>
      </c>
      <c r="K37" s="220">
        <f t="shared" si="9"/>
        <v>117818.1366130845</v>
      </c>
      <c r="L37" s="110"/>
    </row>
    <row r="38" spans="2:16" s="204" customFormat="1" ht="24.95" customHeight="1" x14ac:dyDescent="0.15">
      <c r="B38" s="218"/>
      <c r="C38" s="193" t="s">
        <v>499</v>
      </c>
      <c r="D38" s="220">
        <f>BS!F23</f>
        <v>1207.3599999999999</v>
      </c>
      <c r="E38" s="220">
        <f>BS!G23</f>
        <v>1921.73</v>
      </c>
      <c r="F38" s="220">
        <f>BS!H23</f>
        <v>18824.55</v>
      </c>
      <c r="G38" s="226">
        <f>F38*1.1</f>
        <v>20707.005000000001</v>
      </c>
      <c r="H38" s="226">
        <f>G38*1.5</f>
        <v>31060.5075</v>
      </c>
      <c r="I38" s="226">
        <f>H38*0.1</f>
        <v>3106.0507500000003</v>
      </c>
      <c r="J38" s="226">
        <f>I38*0.7</f>
        <v>2174.2355250000001</v>
      </c>
      <c r="K38" s="226">
        <f>J38*0.9</f>
        <v>1956.8119725000001</v>
      </c>
      <c r="L38" s="110"/>
    </row>
    <row r="39" spans="2:16" s="118" customFormat="1" ht="6" customHeight="1" x14ac:dyDescent="0.15"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7"/>
    </row>
    <row r="40" spans="2:16" s="118" customFormat="1" ht="13.5" x14ac:dyDescent="0.15"/>
    <row r="41" spans="2:16" s="118" customFormat="1" ht="13.5" x14ac:dyDescent="0.15">
      <c r="E41" s="215"/>
      <c r="F41" s="216"/>
    </row>
    <row r="42" spans="2:16" s="116" customFormat="1" ht="6" customHeight="1" x14ac:dyDescent="0.15">
      <c r="B42" s="115"/>
      <c r="C42" s="217"/>
      <c r="D42" s="123"/>
      <c r="E42" s="123"/>
      <c r="F42" s="123"/>
      <c r="G42" s="138"/>
      <c r="H42" s="138"/>
      <c r="I42" s="138"/>
      <c r="J42" s="138"/>
      <c r="K42" s="138"/>
      <c r="L42" s="138"/>
      <c r="M42" s="140"/>
      <c r="N42" s="140"/>
      <c r="O42" s="140"/>
      <c r="P42" s="140"/>
    </row>
    <row r="43" spans="2:16" s="204" customFormat="1" ht="24.95" customHeight="1" x14ac:dyDescent="0.15">
      <c r="B43" s="218"/>
      <c r="C43" s="208" t="s">
        <v>500</v>
      </c>
      <c r="D43" s="50">
        <v>2016</v>
      </c>
      <c r="E43" s="50">
        <v>2017</v>
      </c>
      <c r="F43" s="50">
        <v>2018</v>
      </c>
      <c r="G43" s="50" t="s">
        <v>28</v>
      </c>
      <c r="H43" s="50" t="s">
        <v>29</v>
      </c>
      <c r="I43" s="50" t="s">
        <v>30</v>
      </c>
      <c r="J43" s="50" t="s">
        <v>31</v>
      </c>
      <c r="K43" s="50" t="s">
        <v>32</v>
      </c>
      <c r="L43" s="110"/>
    </row>
    <row r="44" spans="2:16" s="204" customFormat="1" ht="24.95" customHeight="1" x14ac:dyDescent="0.15">
      <c r="B44" s="218"/>
      <c r="C44" s="219" t="s">
        <v>493</v>
      </c>
      <c r="D44" s="220"/>
      <c r="E44" s="220"/>
      <c r="F44" s="220"/>
      <c r="G44" s="171"/>
      <c r="H44" s="171"/>
      <c r="I44" s="171"/>
      <c r="J44" s="171"/>
      <c r="K44" s="171"/>
      <c r="L44" s="110"/>
    </row>
    <row r="45" spans="2:16" s="204" customFormat="1" ht="24.95" customHeight="1" x14ac:dyDescent="0.15">
      <c r="B45" s="218"/>
      <c r="C45" s="193" t="s">
        <v>494</v>
      </c>
      <c r="D45" s="211"/>
      <c r="E45" s="211"/>
      <c r="F45" s="211"/>
      <c r="G45" s="211"/>
      <c r="H45" s="211"/>
      <c r="I45" s="211"/>
      <c r="J45" s="211"/>
      <c r="K45" s="211"/>
      <c r="L45" s="110"/>
    </row>
    <row r="46" spans="2:16" s="204" customFormat="1" ht="24.95" customHeight="1" x14ac:dyDescent="0.15">
      <c r="B46" s="218"/>
      <c r="C46" s="193"/>
      <c r="D46" s="221"/>
      <c r="E46" s="221"/>
      <c r="F46" s="221"/>
      <c r="G46" s="171"/>
      <c r="H46" s="171"/>
      <c r="I46" s="171"/>
      <c r="J46" s="171"/>
      <c r="K46" s="171"/>
      <c r="L46" s="110"/>
    </row>
    <row r="47" spans="2:16" s="204" customFormat="1" ht="24.95" customHeight="1" x14ac:dyDescent="0.15">
      <c r="B47" s="218"/>
      <c r="C47" s="193" t="s">
        <v>495</v>
      </c>
      <c r="D47" s="220"/>
      <c r="E47" s="220"/>
      <c r="F47" s="220"/>
      <c r="G47" s="224"/>
      <c r="H47" s="224"/>
      <c r="I47" s="224"/>
      <c r="J47" s="224"/>
      <c r="K47" s="224"/>
      <c r="L47" s="110"/>
    </row>
    <row r="48" spans="2:16" s="204" customFormat="1" ht="24.95" customHeight="1" x14ac:dyDescent="0.15">
      <c r="B48" s="218"/>
      <c r="C48" s="222" t="s">
        <v>496</v>
      </c>
      <c r="D48" s="197"/>
      <c r="E48" s="197"/>
      <c r="F48" s="197"/>
      <c r="G48" s="223"/>
      <c r="H48" s="223"/>
      <c r="I48" s="223"/>
      <c r="J48" s="223"/>
      <c r="K48" s="223"/>
      <c r="L48" s="110"/>
    </row>
    <row r="49" spans="2:16" s="204" customFormat="1" ht="24.95" customHeight="1" x14ac:dyDescent="0.15">
      <c r="B49" s="218"/>
      <c r="C49" s="193"/>
      <c r="D49" s="221"/>
      <c r="E49" s="221"/>
      <c r="F49" s="221"/>
      <c r="G49" s="171"/>
      <c r="H49" s="171"/>
      <c r="I49" s="171"/>
      <c r="J49" s="171"/>
      <c r="K49" s="171"/>
      <c r="L49" s="110"/>
    </row>
    <row r="50" spans="2:16" s="204" customFormat="1" ht="24.95" customHeight="1" x14ac:dyDescent="0.15">
      <c r="B50" s="218"/>
      <c r="C50" s="219" t="s">
        <v>497</v>
      </c>
      <c r="D50" s="220"/>
      <c r="E50" s="220"/>
      <c r="F50" s="220"/>
      <c r="G50" s="220"/>
      <c r="H50" s="220"/>
      <c r="I50" s="220"/>
      <c r="J50" s="220"/>
      <c r="K50" s="220"/>
      <c r="L50" s="110"/>
    </row>
    <row r="51" spans="2:16" s="118" customFormat="1" ht="6" customHeight="1" x14ac:dyDescent="0.15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7"/>
    </row>
    <row r="52" spans="2:16" s="118" customFormat="1" ht="13.5" x14ac:dyDescent="0.15"/>
    <row r="53" spans="2:16" s="118" customFormat="1" ht="13.5" x14ac:dyDescent="0.15">
      <c r="E53" s="215"/>
      <c r="F53" s="216"/>
    </row>
    <row r="54" spans="2:16" s="116" customFormat="1" ht="6" customHeight="1" x14ac:dyDescent="0.15">
      <c r="B54" s="115"/>
      <c r="C54" s="217"/>
      <c r="D54" s="123"/>
      <c r="E54" s="123"/>
      <c r="F54" s="123"/>
      <c r="G54" s="138"/>
      <c r="H54" s="138"/>
      <c r="I54" s="138"/>
      <c r="J54" s="138"/>
      <c r="K54" s="138"/>
      <c r="L54" s="138"/>
      <c r="M54" s="140"/>
      <c r="N54" s="140"/>
      <c r="O54" s="140"/>
      <c r="P54" s="140"/>
    </row>
    <row r="55" spans="2:16" s="204" customFormat="1" ht="24.95" customHeight="1" x14ac:dyDescent="0.15">
      <c r="B55" s="218"/>
      <c r="C55" s="208" t="s">
        <v>501</v>
      </c>
      <c r="D55" s="50">
        <v>2016</v>
      </c>
      <c r="E55" s="50">
        <v>2017</v>
      </c>
      <c r="F55" s="50">
        <v>2018</v>
      </c>
      <c r="G55" s="50" t="s">
        <v>28</v>
      </c>
      <c r="H55" s="50" t="s">
        <v>29</v>
      </c>
      <c r="I55" s="50" t="s">
        <v>30</v>
      </c>
      <c r="J55" s="50" t="s">
        <v>31</v>
      </c>
      <c r="K55" s="50" t="s">
        <v>32</v>
      </c>
      <c r="L55" s="110"/>
    </row>
    <row r="56" spans="2:16" s="204" customFormat="1" ht="24.95" customHeight="1" x14ac:dyDescent="0.15">
      <c r="B56" s="218"/>
      <c r="C56" s="219" t="s">
        <v>493</v>
      </c>
      <c r="D56" s="220">
        <f>BS!E25</f>
        <v>1931.4</v>
      </c>
      <c r="E56" s="220">
        <f>BS!F25</f>
        <v>4067.57</v>
      </c>
      <c r="F56" s="220">
        <f>BS!G25</f>
        <v>6446.3</v>
      </c>
      <c r="G56" s="220">
        <f>F62</f>
        <v>11407.37</v>
      </c>
      <c r="H56" s="220">
        <f t="shared" ref="H56:K56" si="10">G62</f>
        <v>21493.179994057467</v>
      </c>
      <c r="I56" s="220">
        <f t="shared" si="10"/>
        <v>36290.134606444655</v>
      </c>
      <c r="J56" s="220">
        <f t="shared" si="10"/>
        <v>39315.570906448454</v>
      </c>
      <c r="K56" s="220">
        <f t="shared" si="10"/>
        <v>43074.104714269903</v>
      </c>
      <c r="L56" s="110"/>
    </row>
    <row r="57" spans="2:16" s="204" customFormat="1" ht="24.95" customHeight="1" x14ac:dyDescent="0.15">
      <c r="B57" s="218"/>
      <c r="C57" s="193" t="s">
        <v>494</v>
      </c>
      <c r="D57" s="220">
        <f t="shared" ref="D57:F57" si="11">D62-(D56-D59)</f>
        <v>2350.79</v>
      </c>
      <c r="E57" s="220">
        <f t="shared" si="11"/>
        <v>2814.4</v>
      </c>
      <c r="F57" s="220">
        <f t="shared" si="11"/>
        <v>5690.1100000000006</v>
      </c>
      <c r="G57" s="129">
        <f>G10-(G63-F63)</f>
        <v>11380.220000000001</v>
      </c>
      <c r="H57" s="129">
        <f t="shared" ref="H57:K57" si="12">H10-(H63-G63)</f>
        <v>17070.330000000002</v>
      </c>
      <c r="I57" s="129">
        <f t="shared" si="12"/>
        <v>6000</v>
      </c>
      <c r="J57" s="129">
        <f t="shared" si="12"/>
        <v>7000</v>
      </c>
      <c r="K57" s="129">
        <f t="shared" si="12"/>
        <v>8000</v>
      </c>
      <c r="L57" s="110"/>
    </row>
    <row r="58" spans="2:16" s="204" customFormat="1" ht="24.95" customHeight="1" x14ac:dyDescent="0.15">
      <c r="B58" s="218"/>
      <c r="C58" s="193"/>
      <c r="D58" s="220"/>
      <c r="E58" s="221"/>
      <c r="F58" s="221"/>
      <c r="G58" s="171"/>
      <c r="H58" s="171"/>
      <c r="I58" s="171"/>
      <c r="J58" s="171"/>
      <c r="K58" s="171"/>
      <c r="L58" s="110"/>
    </row>
    <row r="59" spans="2:16" s="204" customFormat="1" ht="24.95" customHeight="1" x14ac:dyDescent="0.15">
      <c r="B59" s="218"/>
      <c r="C59" s="193" t="s">
        <v>502</v>
      </c>
      <c r="D59" s="220">
        <v>214.62</v>
      </c>
      <c r="E59" s="220">
        <v>435.67</v>
      </c>
      <c r="F59" s="220">
        <v>729.04</v>
      </c>
      <c r="G59" s="171">
        <f>(G56+G57/2)*G60</f>
        <v>1294.4100059425352</v>
      </c>
      <c r="H59" s="171">
        <f t="shared" ref="H59:K59" si="13">(H56+H57/2)*H60</f>
        <v>2273.3753876128189</v>
      </c>
      <c r="I59" s="171">
        <f t="shared" si="13"/>
        <v>2974.5636999961998</v>
      </c>
      <c r="J59" s="171">
        <f t="shared" si="13"/>
        <v>3241.4661921785537</v>
      </c>
      <c r="K59" s="171">
        <f t="shared" si="13"/>
        <v>3563.8697727932786</v>
      </c>
      <c r="L59" s="110"/>
      <c r="N59" s="230"/>
    </row>
    <row r="60" spans="2:16" s="204" customFormat="1" ht="24.95" customHeight="1" x14ac:dyDescent="0.15">
      <c r="B60" s="218"/>
      <c r="C60" s="222" t="s">
        <v>503</v>
      </c>
      <c r="D60" s="197">
        <f t="shared" ref="D60:F60" si="14">D59/(D56+D57/2)</f>
        <v>6.9080837325925917E-2</v>
      </c>
      <c r="E60" s="197">
        <f t="shared" si="14"/>
        <v>7.9577772216915046E-2</v>
      </c>
      <c r="F60" s="197">
        <f t="shared" si="14"/>
        <v>7.84643359337793E-2</v>
      </c>
      <c r="G60" s="223">
        <f>AVERAGE(D60:F60)</f>
        <v>7.570764849220675E-2</v>
      </c>
      <c r="H60" s="223">
        <f>G60</f>
        <v>7.570764849220675E-2</v>
      </c>
      <c r="I60" s="223">
        <f t="shared" ref="I60:K60" si="15">H60</f>
        <v>7.570764849220675E-2</v>
      </c>
      <c r="J60" s="223">
        <f t="shared" si="15"/>
        <v>7.570764849220675E-2</v>
      </c>
      <c r="K60" s="223">
        <f t="shared" si="15"/>
        <v>7.570764849220675E-2</v>
      </c>
      <c r="L60" s="110"/>
    </row>
    <row r="61" spans="2:16" ht="24.95" customHeight="1" x14ac:dyDescent="0.15">
      <c r="C61" s="227"/>
      <c r="D61" s="228"/>
      <c r="E61" s="228"/>
      <c r="F61" s="228"/>
      <c r="G61" s="210"/>
      <c r="H61" s="210"/>
      <c r="I61" s="210"/>
      <c r="J61" s="210"/>
      <c r="K61" s="210"/>
      <c r="N61" s="180"/>
    </row>
    <row r="62" spans="2:16" s="204" customFormat="1" ht="24.95" customHeight="1" x14ac:dyDescent="0.15">
      <c r="B62" s="218"/>
      <c r="C62" s="219" t="s">
        <v>497</v>
      </c>
      <c r="D62" s="220">
        <f>BS!F25</f>
        <v>4067.57</v>
      </c>
      <c r="E62" s="220">
        <f>BS!G25</f>
        <v>6446.3</v>
      </c>
      <c r="F62" s="220">
        <f>BS!H25</f>
        <v>11407.37</v>
      </c>
      <c r="G62" s="220">
        <f>G56+G57-G59</f>
        <v>21493.179994057467</v>
      </c>
      <c r="H62" s="220">
        <f t="shared" ref="H62:K62" si="16">H56+H57-H59</f>
        <v>36290.134606444655</v>
      </c>
      <c r="I62" s="220">
        <f t="shared" si="16"/>
        <v>39315.570906448454</v>
      </c>
      <c r="J62" s="220">
        <f t="shared" si="16"/>
        <v>43074.104714269903</v>
      </c>
      <c r="K62" s="220">
        <f t="shared" si="16"/>
        <v>47510.234941476621</v>
      </c>
      <c r="L62" s="110"/>
    </row>
    <row r="63" spans="2:16" s="204" customFormat="1" ht="24.95" customHeight="1" x14ac:dyDescent="0.15">
      <c r="B63" s="218"/>
      <c r="C63" s="193" t="s">
        <v>504</v>
      </c>
      <c r="D63" s="220"/>
      <c r="E63" s="220"/>
      <c r="F63" s="220"/>
      <c r="G63" s="226"/>
      <c r="H63" s="226"/>
      <c r="I63" s="226"/>
      <c r="J63" s="226"/>
      <c r="K63" s="226"/>
      <c r="L63" s="110"/>
    </row>
    <row r="64" spans="2:16" s="118" customFormat="1" ht="6" customHeight="1" x14ac:dyDescent="0.15"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7"/>
    </row>
    <row r="65" spans="2:16" s="118" customFormat="1" ht="13.5" x14ac:dyDescent="0.15"/>
    <row r="66" spans="2:16" s="118" customFormat="1" ht="13.5" x14ac:dyDescent="0.15">
      <c r="E66" s="215"/>
      <c r="F66" s="216"/>
    </row>
    <row r="67" spans="2:16" s="116" customFormat="1" ht="6" customHeight="1" x14ac:dyDescent="0.15">
      <c r="B67" s="115"/>
      <c r="C67" s="217"/>
      <c r="D67" s="123"/>
      <c r="E67" s="123"/>
      <c r="F67" s="123"/>
      <c r="G67" s="138"/>
      <c r="H67" s="138"/>
      <c r="I67" s="138"/>
      <c r="J67" s="138"/>
      <c r="K67" s="138"/>
      <c r="L67" s="138"/>
      <c r="M67" s="140"/>
      <c r="N67" s="140"/>
      <c r="O67" s="140"/>
      <c r="P67" s="140"/>
    </row>
    <row r="68" spans="2:16" s="204" customFormat="1" ht="24.95" customHeight="1" x14ac:dyDescent="0.15">
      <c r="B68" s="218"/>
      <c r="C68" s="208" t="s">
        <v>505</v>
      </c>
      <c r="D68" s="50">
        <v>2016</v>
      </c>
      <c r="E68" s="50">
        <v>2017</v>
      </c>
      <c r="F68" s="50">
        <v>2018</v>
      </c>
      <c r="G68" s="50" t="s">
        <v>28</v>
      </c>
      <c r="H68" s="50" t="s">
        <v>29</v>
      </c>
      <c r="I68" s="50" t="s">
        <v>30</v>
      </c>
      <c r="J68" s="50" t="s">
        <v>31</v>
      </c>
      <c r="K68" s="50" t="s">
        <v>32</v>
      </c>
      <c r="L68" s="110"/>
    </row>
    <row r="69" spans="2:16" s="204" customFormat="1" ht="24.95" customHeight="1" x14ac:dyDescent="0.15">
      <c r="B69" s="218"/>
      <c r="C69" s="219" t="s">
        <v>493</v>
      </c>
      <c r="D69" s="220">
        <f>BS!E28</f>
        <v>135.84</v>
      </c>
      <c r="E69" s="220">
        <f>BS!F28</f>
        <v>574.09</v>
      </c>
      <c r="F69" s="220">
        <f>BS!G28</f>
        <v>2981.23</v>
      </c>
      <c r="G69" s="220">
        <f>F75</f>
        <v>2936.48</v>
      </c>
      <c r="H69" s="220">
        <f t="shared" ref="H69" si="17">G75</f>
        <v>3773.0455639940928</v>
      </c>
      <c r="I69" s="220">
        <f t="shared" ref="I69" si="18">H75</f>
        <v>4565.1427358415176</v>
      </c>
      <c r="J69" s="220">
        <f t="shared" ref="J69" si="19">I75</f>
        <v>5382.5093596147808</v>
      </c>
      <c r="K69" s="220">
        <f t="shared" ref="K69" si="20">J75</f>
        <v>6291.7965173087005</v>
      </c>
      <c r="L69" s="110"/>
    </row>
    <row r="70" spans="2:16" s="204" customFormat="1" ht="24.95" customHeight="1" x14ac:dyDescent="0.15">
      <c r="B70" s="218"/>
      <c r="C70" s="193" t="s">
        <v>494</v>
      </c>
      <c r="D70" s="220"/>
      <c r="E70" s="220"/>
      <c r="F70" s="220">
        <f>F75-(F69-F72)</f>
        <v>1318.7651490000001</v>
      </c>
      <c r="G70" s="129">
        <f>G11</f>
        <v>1582.0684044378809</v>
      </c>
      <c r="H70" s="129">
        <f>H11</f>
        <v>1718.5625384958259</v>
      </c>
      <c r="I70" s="129">
        <f>I11</f>
        <v>1922.6613010461851</v>
      </c>
      <c r="J70" s="129">
        <f>J11</f>
        <v>2206.4322551298624</v>
      </c>
      <c r="K70" s="129">
        <f>K11</f>
        <v>2625.4192027612244</v>
      </c>
      <c r="L70" s="110"/>
    </row>
    <row r="71" spans="2:16" s="204" customFormat="1" ht="24.95" customHeight="1" x14ac:dyDescent="0.15">
      <c r="B71" s="218"/>
      <c r="C71" s="193"/>
      <c r="D71" s="220"/>
      <c r="E71" s="221"/>
      <c r="F71" s="221"/>
      <c r="G71" s="171"/>
      <c r="H71" s="171"/>
      <c r="I71" s="171"/>
      <c r="J71" s="171"/>
      <c r="K71" s="171"/>
      <c r="L71" s="110"/>
    </row>
    <row r="72" spans="2:16" s="204" customFormat="1" ht="24.95" customHeight="1" x14ac:dyDescent="0.15">
      <c r="B72" s="218"/>
      <c r="C72" s="193" t="s">
        <v>502</v>
      </c>
      <c r="D72" s="220"/>
      <c r="E72" s="220"/>
      <c r="F72" s="220">
        <v>1363.5151490000001</v>
      </c>
      <c r="G72" s="171">
        <f>(G69+G70/2)*G73</f>
        <v>745.50284044378805</v>
      </c>
      <c r="H72" s="171">
        <f t="shared" ref="H72:K72" si="21">(H69+H70/2)*H73</f>
        <v>926.46536664840119</v>
      </c>
      <c r="I72" s="171">
        <f t="shared" si="21"/>
        <v>1105.2946772729222</v>
      </c>
      <c r="J72" s="171">
        <f t="shared" si="21"/>
        <v>1297.1450974359425</v>
      </c>
      <c r="K72" s="171">
        <f t="shared" si="21"/>
        <v>1520.9012237378627</v>
      </c>
      <c r="L72" s="110"/>
      <c r="N72" s="230"/>
    </row>
    <row r="73" spans="2:16" s="204" customFormat="1" ht="24.95" customHeight="1" x14ac:dyDescent="0.15">
      <c r="B73" s="218"/>
      <c r="C73" s="222" t="s">
        <v>503</v>
      </c>
      <c r="D73" s="197"/>
      <c r="E73" s="197"/>
      <c r="F73" s="197">
        <f t="shared" ref="F73" si="22">F72/(F69+F70/2)</f>
        <v>0.37452904452137825</v>
      </c>
      <c r="G73" s="223">
        <v>0.2</v>
      </c>
      <c r="H73" s="223">
        <v>0.2</v>
      </c>
      <c r="I73" s="223">
        <v>0.2</v>
      </c>
      <c r="J73" s="223">
        <v>0.2</v>
      </c>
      <c r="K73" s="223">
        <v>0.2</v>
      </c>
      <c r="L73" s="110"/>
    </row>
    <row r="74" spans="2:16" ht="24.95" customHeight="1" x14ac:dyDescent="0.15">
      <c r="C74" s="227"/>
      <c r="D74" s="228"/>
      <c r="E74" s="228"/>
      <c r="F74" s="228"/>
      <c r="G74" s="210"/>
      <c r="H74" s="210"/>
      <c r="I74" s="210"/>
      <c r="J74" s="210"/>
      <c r="K74" s="210"/>
      <c r="N74" s="180"/>
    </row>
    <row r="75" spans="2:16" s="204" customFormat="1" ht="24.95" customHeight="1" x14ac:dyDescent="0.15">
      <c r="B75" s="218"/>
      <c r="C75" s="219" t="s">
        <v>497</v>
      </c>
      <c r="D75" s="220">
        <f>BS!F28</f>
        <v>574.09</v>
      </c>
      <c r="E75" s="220">
        <f>BS!G28</f>
        <v>2981.23</v>
      </c>
      <c r="F75" s="220">
        <f>BS!H28</f>
        <v>2936.48</v>
      </c>
      <c r="G75" s="220">
        <f>G69+G70-G72</f>
        <v>3773.0455639940928</v>
      </c>
      <c r="H75" s="220">
        <f t="shared" ref="H75:K75" si="23">H69+H70-H72</f>
        <v>4565.1427358415176</v>
      </c>
      <c r="I75" s="220">
        <f t="shared" si="23"/>
        <v>5382.5093596147808</v>
      </c>
      <c r="J75" s="220">
        <f t="shared" si="23"/>
        <v>6291.7965173087005</v>
      </c>
      <c r="K75" s="220">
        <f t="shared" si="23"/>
        <v>7396.3144963320628</v>
      </c>
      <c r="L75" s="110"/>
    </row>
    <row r="76" spans="2:16" s="118" customFormat="1" ht="6" customHeight="1" x14ac:dyDescent="0.15"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7"/>
    </row>
    <row r="77" spans="2:16" s="118" customFormat="1" ht="13.5" x14ac:dyDescent="0.15"/>
    <row r="78" spans="2:16" s="118" customFormat="1" ht="13.5" x14ac:dyDescent="0.15">
      <c r="E78" s="215"/>
      <c r="F78" s="216"/>
    </row>
    <row r="79" spans="2:16" ht="6" customHeight="1" x14ac:dyDescent="0.15">
      <c r="C79" s="110"/>
      <c r="D79" s="110"/>
      <c r="E79" s="110"/>
      <c r="F79" s="110"/>
      <c r="G79" s="110"/>
      <c r="H79" s="110"/>
      <c r="I79" s="110"/>
      <c r="J79" s="110"/>
      <c r="K79" s="110"/>
    </row>
    <row r="80" spans="2:16" s="155" customFormat="1" ht="24.95" customHeight="1" x14ac:dyDescent="0.15">
      <c r="B80" s="110"/>
      <c r="C80" s="208" t="s">
        <v>506</v>
      </c>
      <c r="D80" s="50">
        <v>2016</v>
      </c>
      <c r="E80" s="50">
        <v>2017</v>
      </c>
      <c r="F80" s="50">
        <v>2018</v>
      </c>
      <c r="G80" s="50" t="s">
        <v>28</v>
      </c>
      <c r="H80" s="50" t="s">
        <v>29</v>
      </c>
      <c r="I80" s="50" t="s">
        <v>30</v>
      </c>
      <c r="J80" s="50" t="s">
        <v>31</v>
      </c>
      <c r="K80" s="50" t="s">
        <v>32</v>
      </c>
      <c r="L80" s="173"/>
      <c r="M80" s="229"/>
    </row>
    <row r="81" spans="2:13" s="155" customFormat="1" ht="24.95" customHeight="1" x14ac:dyDescent="0.15">
      <c r="B81" s="110"/>
      <c r="C81" s="209" t="s">
        <v>507</v>
      </c>
      <c r="D81" s="231"/>
      <c r="E81" s="231"/>
      <c r="F81" s="231"/>
      <c r="G81" s="231"/>
      <c r="H81" s="231"/>
      <c r="I81" s="231"/>
      <c r="J81" s="231"/>
      <c r="K81" s="231"/>
      <c r="L81" s="173"/>
      <c r="M81" s="229"/>
    </row>
    <row r="82" spans="2:13" s="155" customFormat="1" ht="24.95" customHeight="1" x14ac:dyDescent="0.15">
      <c r="B82" s="110"/>
      <c r="C82" s="209" t="s">
        <v>508</v>
      </c>
      <c r="D82" s="231">
        <f>IS!F7/BS!F22</f>
        <v>25.710973229800267</v>
      </c>
      <c r="E82" s="231">
        <f>IS!G7/BS!G22</f>
        <v>20.872177427840462</v>
      </c>
      <c r="F82" s="231">
        <f>IS!H7/BS!H22</f>
        <v>27.421844124967933</v>
      </c>
      <c r="G82" s="231">
        <f>IS!I7/BS!I22</f>
        <v>17.336669150999025</v>
      </c>
      <c r="H82" s="231">
        <f>IS!J7/BS!J22</f>
        <v>10.781806103851222</v>
      </c>
      <c r="I82" s="231">
        <f>IS!K7/BS!K22</f>
        <v>9.5333950371516227</v>
      </c>
      <c r="J82" s="231">
        <f>IS!L7/BS!L22</f>
        <v>11.388272858077835</v>
      </c>
      <c r="K82" s="231">
        <f>IS!M7/BS!M22</f>
        <v>14.057858855784879</v>
      </c>
      <c r="L82" s="173"/>
      <c r="M82" s="229"/>
    </row>
    <row r="83" spans="2:13" s="155" customFormat="1" ht="24.95" customHeight="1" x14ac:dyDescent="0.15">
      <c r="B83" s="110"/>
      <c r="C83" s="209" t="s">
        <v>509</v>
      </c>
      <c r="D83" s="231"/>
      <c r="E83" s="231"/>
      <c r="F83" s="231"/>
      <c r="G83" s="231"/>
      <c r="H83" s="231"/>
      <c r="I83" s="231"/>
      <c r="J83" s="231"/>
      <c r="K83" s="231"/>
      <c r="L83" s="173"/>
      <c r="M83" s="229"/>
    </row>
    <row r="84" spans="2:13" s="155" customFormat="1" ht="24.95" customHeight="1" x14ac:dyDescent="0.15">
      <c r="B84" s="110"/>
      <c r="C84" s="209" t="s">
        <v>510</v>
      </c>
      <c r="D84" s="231">
        <f>IS!F7/BS!F25</f>
        <v>108.73067212119274</v>
      </c>
      <c r="E84" s="231">
        <f>IS!G7/BS!G25</f>
        <v>86.16084575648047</v>
      </c>
      <c r="F84" s="231">
        <f>IS!H7/BS!H25</f>
        <v>61.374067817560039</v>
      </c>
      <c r="G84" s="231">
        <f>IS!I7/BS!I25</f>
        <v>39.077570670509097</v>
      </c>
      <c r="H84" s="231">
        <f>IS!J7/BS!J25</f>
        <v>26.298040569021815</v>
      </c>
      <c r="I84" s="231">
        <f>IS!K7/BS!K25</f>
        <v>28.37090668695356</v>
      </c>
      <c r="J84" s="231">
        <f>IS!L7/BS!L25</f>
        <v>31.012067219555256</v>
      </c>
      <c r="K84" s="231">
        <f>IS!M7/BS!M25</f>
        <v>34.861345922589656</v>
      </c>
      <c r="L84" s="173"/>
      <c r="M84" s="229"/>
    </row>
    <row r="85" spans="2:13" s="155" customFormat="1" ht="24.95" customHeight="1" x14ac:dyDescent="0.15">
      <c r="B85" s="110"/>
      <c r="C85" s="209" t="s">
        <v>511</v>
      </c>
      <c r="D85" s="231">
        <f>IS!F7/BS!F28</f>
        <v>770.38377257921229</v>
      </c>
      <c r="E85" s="231">
        <f>IS!G7/BS!G28</f>
        <v>186.30520288605712</v>
      </c>
      <c r="F85" s="231">
        <f>IS!H7/BS!H28</f>
        <v>238.42038767503948</v>
      </c>
      <c r="G85" s="231">
        <f>IS!I7/BS!I28</f>
        <v>222.60564997329249</v>
      </c>
      <c r="H85" s="231">
        <f>IS!J7/BS!J28</f>
        <v>209.05357999931667</v>
      </c>
      <c r="I85" s="231">
        <f>IS!K7/BS!K28</f>
        <v>207.23018187393998</v>
      </c>
      <c r="J85" s="231">
        <f>IS!L7/BS!L28</f>
        <v>212.31090788557358</v>
      </c>
      <c r="K85" s="231">
        <f>IS!M7/BS!M28</f>
        <v>223.93189688995659</v>
      </c>
      <c r="L85" s="173"/>
      <c r="M85" s="229"/>
    </row>
    <row r="86" spans="2:13" s="155" customFormat="1" ht="6" customHeight="1" x14ac:dyDescent="0.15">
      <c r="B86" s="110"/>
      <c r="C86" s="110"/>
      <c r="D86" s="232"/>
      <c r="E86" s="232"/>
      <c r="F86" s="232"/>
      <c r="G86" s="232"/>
      <c r="H86" s="232"/>
      <c r="I86" s="232"/>
      <c r="J86" s="232"/>
      <c r="K86" s="232"/>
      <c r="L86" s="173"/>
      <c r="M86" s="229"/>
    </row>
    <row r="87" spans="2:13" s="118" customFormat="1" ht="13.5" x14ac:dyDescent="0.15">
      <c r="E87" s="215"/>
    </row>
    <row r="88" spans="2:13" s="118" customFormat="1" ht="13.5" x14ac:dyDescent="0.15">
      <c r="E88" s="215"/>
      <c r="F88" s="216"/>
    </row>
    <row r="89" spans="2:13" s="155" customFormat="1" ht="6" customHeight="1" x14ac:dyDescent="0.15">
      <c r="B89" s="110"/>
      <c r="C89" s="110"/>
      <c r="D89" s="213"/>
      <c r="E89" s="213"/>
      <c r="F89" s="213"/>
      <c r="G89" s="213"/>
      <c r="H89" s="213"/>
      <c r="I89" s="213"/>
      <c r="J89" s="213"/>
      <c r="K89" s="213"/>
      <c r="L89" s="173"/>
      <c r="M89" s="229"/>
    </row>
    <row r="90" spans="2:13" ht="24.95" customHeight="1" x14ac:dyDescent="0.15">
      <c r="C90" s="208" t="s">
        <v>512</v>
      </c>
      <c r="D90" s="50">
        <v>2016</v>
      </c>
      <c r="E90" s="50">
        <v>2017</v>
      </c>
      <c r="F90" s="50">
        <v>2018</v>
      </c>
      <c r="G90" s="50" t="s">
        <v>28</v>
      </c>
      <c r="H90" s="50" t="s">
        <v>29</v>
      </c>
      <c r="I90" s="50" t="s">
        <v>30</v>
      </c>
      <c r="J90" s="50" t="s">
        <v>31</v>
      </c>
      <c r="K90" s="50" t="s">
        <v>32</v>
      </c>
    </row>
    <row r="91" spans="2:13" ht="24.95" customHeight="1" x14ac:dyDescent="0.15">
      <c r="C91" s="227" t="s">
        <v>513</v>
      </c>
      <c r="D91" s="210"/>
      <c r="E91" s="210"/>
      <c r="F91" s="210"/>
      <c r="G91" s="210"/>
      <c r="H91" s="210"/>
      <c r="I91" s="210"/>
      <c r="J91" s="210"/>
      <c r="K91" s="210"/>
    </row>
    <row r="92" spans="2:13" ht="24.95" customHeight="1" x14ac:dyDescent="0.15">
      <c r="C92" s="227" t="s">
        <v>514</v>
      </c>
      <c r="D92" s="210">
        <f t="shared" ref="D92:K92" si="24">D34</f>
        <v>1976.79</v>
      </c>
      <c r="E92" s="210">
        <f t="shared" si="24"/>
        <v>4242.05</v>
      </c>
      <c r="F92" s="210">
        <f t="shared" si="24"/>
        <v>7152.3</v>
      </c>
      <c r="G92" s="210">
        <f t="shared" si="24"/>
        <v>5568.2266499999996</v>
      </c>
      <c r="H92" s="210">
        <f t="shared" si="24"/>
        <v>10308.986393999998</v>
      </c>
      <c r="I92" s="210">
        <f t="shared" si="24"/>
        <v>15469.014096339999</v>
      </c>
      <c r="J92" s="210">
        <f t="shared" si="24"/>
        <v>17635.391161102398</v>
      </c>
      <c r="K92" s="210">
        <f t="shared" si="24"/>
        <v>17696.883112973061</v>
      </c>
    </row>
    <row r="93" spans="2:13" ht="24.95" customHeight="1" x14ac:dyDescent="0.15">
      <c r="C93" s="227" t="s">
        <v>515</v>
      </c>
      <c r="D93" s="210"/>
      <c r="E93" s="210"/>
      <c r="F93" s="210"/>
      <c r="G93" s="210"/>
      <c r="H93" s="210"/>
      <c r="I93" s="210"/>
      <c r="J93" s="210"/>
      <c r="K93" s="210"/>
    </row>
    <row r="94" spans="2:13" ht="24.95" customHeight="1" x14ac:dyDescent="0.15">
      <c r="C94" s="227" t="s">
        <v>516</v>
      </c>
      <c r="D94" s="210">
        <f t="shared" ref="D94:K94" si="25">D59</f>
        <v>214.62</v>
      </c>
      <c r="E94" s="210">
        <f t="shared" si="25"/>
        <v>435.67</v>
      </c>
      <c r="F94" s="210">
        <f t="shared" si="25"/>
        <v>729.04</v>
      </c>
      <c r="G94" s="210">
        <f t="shared" si="25"/>
        <v>1294.4100059425352</v>
      </c>
      <c r="H94" s="210">
        <f t="shared" si="25"/>
        <v>2273.3753876128189</v>
      </c>
      <c r="I94" s="210">
        <f t="shared" si="25"/>
        <v>2974.5636999961998</v>
      </c>
      <c r="J94" s="210">
        <f t="shared" si="25"/>
        <v>3241.4661921785537</v>
      </c>
      <c r="K94" s="210">
        <f t="shared" si="25"/>
        <v>3563.8697727932786</v>
      </c>
    </row>
    <row r="95" spans="2:13" ht="24.95" customHeight="1" x14ac:dyDescent="0.15">
      <c r="C95" s="227" t="s">
        <v>517</v>
      </c>
      <c r="D95" s="210"/>
      <c r="E95" s="210"/>
      <c r="F95" s="210">
        <f t="shared" ref="F95:K95" si="26">F72</f>
        <v>1363.5151490000001</v>
      </c>
      <c r="G95" s="210">
        <f t="shared" si="26"/>
        <v>745.50284044378805</v>
      </c>
      <c r="H95" s="210">
        <f t="shared" si="26"/>
        <v>926.46536664840119</v>
      </c>
      <c r="I95" s="210">
        <f t="shared" si="26"/>
        <v>1105.2946772729222</v>
      </c>
      <c r="J95" s="210">
        <f t="shared" si="26"/>
        <v>1297.1450974359425</v>
      </c>
      <c r="K95" s="210">
        <f t="shared" si="26"/>
        <v>1520.9012237378627</v>
      </c>
    </row>
    <row r="96" spans="2:13" ht="24.95" customHeight="1" x14ac:dyDescent="0.15">
      <c r="C96" s="227" t="s">
        <v>518</v>
      </c>
      <c r="D96" s="210">
        <f t="shared" ref="D96:K96" si="27">SUM(D91:D95)</f>
        <v>2191.41</v>
      </c>
      <c r="E96" s="210">
        <f t="shared" si="27"/>
        <v>4677.72</v>
      </c>
      <c r="F96" s="210">
        <f t="shared" si="27"/>
        <v>9244.8551490000009</v>
      </c>
      <c r="G96" s="210">
        <f t="shared" si="27"/>
        <v>7608.1394963863231</v>
      </c>
      <c r="H96" s="210">
        <f t="shared" si="27"/>
        <v>13508.827148261218</v>
      </c>
      <c r="I96" s="210">
        <f t="shared" si="27"/>
        <v>19548.872473609121</v>
      </c>
      <c r="J96" s="210">
        <f t="shared" si="27"/>
        <v>22174.002450716896</v>
      </c>
      <c r="K96" s="210">
        <f t="shared" si="27"/>
        <v>22781.654109504201</v>
      </c>
    </row>
    <row r="97" spans="1:13" ht="6" customHeight="1" x14ac:dyDescent="0.15">
      <c r="A97" s="155"/>
      <c r="C97" s="110"/>
      <c r="D97" s="110"/>
      <c r="E97" s="110"/>
      <c r="F97" s="110"/>
      <c r="G97" s="110"/>
      <c r="H97" s="110"/>
      <c r="I97" s="110"/>
      <c r="J97" s="110"/>
      <c r="K97" s="110"/>
    </row>
    <row r="98" spans="1:13" x14ac:dyDescent="0.15">
      <c r="A98" s="155"/>
      <c r="B98" s="155"/>
      <c r="K98" s="155"/>
      <c r="L98" s="155"/>
      <c r="M98" s="155"/>
    </row>
    <row r="99" spans="1:13" x14ac:dyDescent="0.15">
      <c r="A99" s="155"/>
      <c r="B99" s="155"/>
      <c r="K99" s="155"/>
      <c r="L99" s="155"/>
      <c r="M99" s="155"/>
    </row>
    <row r="100" spans="1:13" x14ac:dyDescent="0.15">
      <c r="A100" s="155"/>
      <c r="B100" s="155"/>
      <c r="K100" s="155"/>
      <c r="L100" s="155"/>
      <c r="M100" s="155"/>
    </row>
    <row r="101" spans="1:13" x14ac:dyDescent="0.15">
      <c r="A101" s="155"/>
      <c r="B101" s="155"/>
      <c r="K101" s="155"/>
      <c r="L101" s="155"/>
      <c r="M101" s="155"/>
    </row>
    <row r="102" spans="1:13" x14ac:dyDescent="0.15">
      <c r="A102" s="155"/>
      <c r="B102" s="155"/>
      <c r="K102" s="155"/>
      <c r="L102" s="155"/>
      <c r="M102" s="155"/>
    </row>
    <row r="103" spans="1:13" x14ac:dyDescent="0.15">
      <c r="A103" s="155"/>
      <c r="B103" s="155"/>
      <c r="K103" s="155"/>
      <c r="L103" s="155"/>
      <c r="M103" s="155"/>
    </row>
    <row r="104" spans="1:13" x14ac:dyDescent="0.15">
      <c r="A104" s="155"/>
      <c r="B104" s="155"/>
      <c r="K104" s="155"/>
      <c r="L104" s="155"/>
      <c r="M104" s="155"/>
    </row>
    <row r="105" spans="1:13" x14ac:dyDescent="0.15">
      <c r="A105" s="155"/>
      <c r="B105" s="155"/>
      <c r="K105" s="155"/>
      <c r="L105" s="155"/>
      <c r="M105" s="155"/>
    </row>
    <row r="106" spans="1:13" x14ac:dyDescent="0.15">
      <c r="A106" s="155"/>
      <c r="B106" s="155"/>
      <c r="K106" s="155"/>
      <c r="L106" s="155"/>
      <c r="M106" s="155"/>
    </row>
    <row r="107" spans="1:13" x14ac:dyDescent="0.15">
      <c r="A107" s="155"/>
      <c r="B107" s="155"/>
      <c r="K107" s="155"/>
      <c r="L107" s="155"/>
      <c r="M107" s="155"/>
    </row>
    <row r="108" spans="1:13" x14ac:dyDescent="0.15">
      <c r="A108" s="155"/>
      <c r="B108" s="155"/>
      <c r="K108" s="155"/>
      <c r="L108" s="155"/>
      <c r="M108" s="155"/>
    </row>
    <row r="109" spans="1:13" x14ac:dyDescent="0.15">
      <c r="A109" s="155"/>
      <c r="B109" s="155"/>
      <c r="K109" s="155"/>
      <c r="L109" s="155"/>
      <c r="M109" s="155"/>
    </row>
    <row r="110" spans="1:13" x14ac:dyDescent="0.15">
      <c r="A110" s="155"/>
      <c r="B110" s="155"/>
      <c r="K110" s="155"/>
      <c r="L110" s="155"/>
      <c r="M110" s="155"/>
    </row>
    <row r="111" spans="1:13" x14ac:dyDescent="0.15">
      <c r="A111" s="155"/>
      <c r="B111" s="155"/>
      <c r="K111" s="155"/>
      <c r="L111" s="155"/>
      <c r="M111" s="155"/>
    </row>
    <row r="112" spans="1:13" x14ac:dyDescent="0.15">
      <c r="A112" s="155"/>
      <c r="B112" s="155"/>
      <c r="K112" s="155"/>
      <c r="L112" s="155"/>
      <c r="M112" s="155"/>
    </row>
    <row r="113" spans="1:13" x14ac:dyDescent="0.15">
      <c r="A113" s="155"/>
      <c r="B113" s="155"/>
      <c r="K113" s="155"/>
      <c r="L113" s="155"/>
      <c r="M113" s="155"/>
    </row>
    <row r="114" spans="1:13" x14ac:dyDescent="0.15">
      <c r="A114" s="155"/>
      <c r="B114" s="155"/>
      <c r="K114" s="155"/>
      <c r="L114" s="155"/>
      <c r="M114" s="155"/>
    </row>
    <row r="115" spans="1:13" x14ac:dyDescent="0.15">
      <c r="A115" s="155"/>
      <c r="B115" s="155"/>
      <c r="K115" s="155"/>
      <c r="L115" s="155"/>
      <c r="M115" s="155"/>
    </row>
    <row r="116" spans="1:13" x14ac:dyDescent="0.15">
      <c r="A116" s="155"/>
      <c r="B116" s="155"/>
      <c r="K116" s="155"/>
      <c r="L116" s="155"/>
      <c r="M116" s="155"/>
    </row>
    <row r="117" spans="1:13" x14ac:dyDescent="0.15">
      <c r="A117" s="155"/>
      <c r="B117" s="155"/>
      <c r="K117" s="155"/>
      <c r="L117" s="155"/>
      <c r="M117" s="155"/>
    </row>
    <row r="118" spans="1:13" x14ac:dyDescent="0.15">
      <c r="A118" s="155"/>
      <c r="B118" s="155"/>
      <c r="K118" s="155"/>
      <c r="L118" s="155"/>
      <c r="M118" s="155"/>
    </row>
    <row r="119" spans="1:13" x14ac:dyDescent="0.15">
      <c r="A119" s="155"/>
      <c r="B119" s="155"/>
      <c r="K119" s="155"/>
      <c r="L119" s="155"/>
      <c r="M119" s="155"/>
    </row>
    <row r="120" spans="1:13" x14ac:dyDescent="0.15">
      <c r="A120" s="155"/>
      <c r="B120" s="155"/>
      <c r="K120" s="155"/>
      <c r="L120" s="155"/>
      <c r="M120" s="155"/>
    </row>
    <row r="121" spans="1:13" x14ac:dyDescent="0.15">
      <c r="A121" s="155"/>
      <c r="B121" s="155"/>
      <c r="K121" s="155"/>
      <c r="L121" s="155"/>
      <c r="M121" s="155"/>
    </row>
    <row r="122" spans="1:13" x14ac:dyDescent="0.15">
      <c r="A122" s="155"/>
      <c r="B122" s="155"/>
      <c r="K122" s="155"/>
      <c r="L122" s="155"/>
      <c r="M122" s="155"/>
    </row>
    <row r="123" spans="1:13" x14ac:dyDescent="0.15">
      <c r="A123" s="155"/>
      <c r="B123" s="155"/>
      <c r="K123" s="155"/>
      <c r="L123" s="155"/>
      <c r="M123" s="155"/>
    </row>
    <row r="124" spans="1:13" x14ac:dyDescent="0.15">
      <c r="A124" s="155"/>
      <c r="B124" s="155"/>
      <c r="K124" s="155"/>
      <c r="L124" s="155"/>
      <c r="M124" s="155"/>
    </row>
    <row r="125" spans="1:13" x14ac:dyDescent="0.15">
      <c r="A125" s="155"/>
      <c r="B125" s="155"/>
      <c r="K125" s="155"/>
      <c r="L125" s="155"/>
      <c r="M125" s="155"/>
    </row>
    <row r="126" spans="1:13" x14ac:dyDescent="0.15">
      <c r="A126" s="155"/>
      <c r="B126" s="155"/>
      <c r="K126" s="155"/>
      <c r="L126" s="155"/>
      <c r="M126" s="155"/>
    </row>
    <row r="127" spans="1:13" x14ac:dyDescent="0.15">
      <c r="A127" s="155"/>
      <c r="B127" s="155"/>
      <c r="K127" s="155"/>
      <c r="L127" s="155"/>
      <c r="M127" s="155"/>
    </row>
    <row r="128" spans="1:13" x14ac:dyDescent="0.15">
      <c r="A128" s="155"/>
      <c r="B128" s="155"/>
      <c r="K128" s="155"/>
      <c r="L128" s="155"/>
      <c r="M128" s="155"/>
    </row>
    <row r="129" spans="1:13" x14ac:dyDescent="0.15">
      <c r="A129" s="155"/>
      <c r="B129" s="155"/>
      <c r="K129" s="155"/>
      <c r="L129" s="155"/>
      <c r="M129" s="155"/>
    </row>
    <row r="130" spans="1:13" x14ac:dyDescent="0.15">
      <c r="A130" s="155"/>
      <c r="B130" s="155"/>
      <c r="K130" s="155"/>
      <c r="L130" s="155"/>
      <c r="M130" s="155"/>
    </row>
    <row r="131" spans="1:13" x14ac:dyDescent="0.15">
      <c r="A131" s="155"/>
      <c r="B131" s="155"/>
      <c r="K131" s="155"/>
      <c r="L131" s="155"/>
      <c r="M131" s="155"/>
    </row>
    <row r="132" spans="1:13" x14ac:dyDescent="0.15">
      <c r="A132" s="155"/>
      <c r="B132" s="155"/>
      <c r="K132" s="155"/>
      <c r="L132" s="155"/>
      <c r="M132" s="155"/>
    </row>
    <row r="133" spans="1:13" x14ac:dyDescent="0.15">
      <c r="A133" s="155"/>
      <c r="B133" s="155"/>
      <c r="K133" s="155"/>
      <c r="L133" s="155"/>
      <c r="M133" s="155"/>
    </row>
    <row r="134" spans="1:13" x14ac:dyDescent="0.15">
      <c r="A134" s="155"/>
      <c r="B134" s="155"/>
      <c r="K134" s="155"/>
      <c r="L134" s="155"/>
      <c r="M134" s="155"/>
    </row>
    <row r="135" spans="1:13" x14ac:dyDescent="0.15">
      <c r="A135" s="155"/>
      <c r="B135" s="155"/>
      <c r="K135" s="155"/>
      <c r="L135" s="155"/>
      <c r="M135" s="155"/>
    </row>
    <row r="136" spans="1:13" x14ac:dyDescent="0.15">
      <c r="A136" s="155"/>
      <c r="B136" s="155"/>
      <c r="K136" s="155"/>
      <c r="L136" s="155"/>
      <c r="M136" s="155"/>
    </row>
    <row r="137" spans="1:13" x14ac:dyDescent="0.15">
      <c r="A137" s="155"/>
      <c r="B137" s="155"/>
      <c r="K137" s="155"/>
      <c r="L137" s="155"/>
      <c r="M137" s="155"/>
    </row>
    <row r="138" spans="1:13" x14ac:dyDescent="0.15">
      <c r="A138" s="155"/>
      <c r="B138" s="155"/>
      <c r="K138" s="155"/>
      <c r="L138" s="155"/>
      <c r="M138" s="155"/>
    </row>
    <row r="139" spans="1:13" x14ac:dyDescent="0.15">
      <c r="A139" s="155"/>
      <c r="B139" s="155"/>
      <c r="K139" s="155"/>
      <c r="L139" s="155"/>
      <c r="M139" s="155"/>
    </row>
    <row r="140" spans="1:13" x14ac:dyDescent="0.15">
      <c r="A140" s="155"/>
      <c r="B140" s="155"/>
      <c r="K140" s="155"/>
      <c r="L140" s="155"/>
      <c r="M140" s="155"/>
    </row>
    <row r="141" spans="1:13" x14ac:dyDescent="0.15">
      <c r="A141" s="155"/>
      <c r="B141" s="155"/>
      <c r="K141" s="155"/>
      <c r="L141" s="155"/>
      <c r="M141" s="155"/>
    </row>
    <row r="142" spans="1:13" x14ac:dyDescent="0.15">
      <c r="A142" s="155"/>
      <c r="B142" s="155"/>
      <c r="K142" s="155"/>
      <c r="L142" s="155"/>
      <c r="M142" s="155"/>
    </row>
    <row r="143" spans="1:13" x14ac:dyDescent="0.15">
      <c r="A143" s="155"/>
      <c r="B143" s="155"/>
      <c r="K143" s="155"/>
      <c r="L143" s="155"/>
      <c r="M143" s="155"/>
    </row>
    <row r="144" spans="1:13" x14ac:dyDescent="0.15">
      <c r="A144" s="155"/>
      <c r="B144" s="155"/>
      <c r="K144" s="155"/>
      <c r="L144" s="155"/>
      <c r="M144" s="155"/>
    </row>
    <row r="145" spans="1:13" x14ac:dyDescent="0.15">
      <c r="A145" s="155"/>
      <c r="B145" s="155"/>
      <c r="K145" s="155"/>
      <c r="L145" s="155"/>
      <c r="M145" s="155"/>
    </row>
    <row r="146" spans="1:13" x14ac:dyDescent="0.15">
      <c r="A146" s="155"/>
      <c r="B146" s="155"/>
      <c r="K146" s="155"/>
      <c r="L146" s="155"/>
      <c r="M146" s="155"/>
    </row>
    <row r="147" spans="1:13" x14ac:dyDescent="0.15">
      <c r="A147" s="155"/>
      <c r="B147" s="155"/>
      <c r="K147" s="155"/>
      <c r="L147" s="155"/>
      <c r="M147" s="155"/>
    </row>
    <row r="148" spans="1:13" x14ac:dyDescent="0.15">
      <c r="A148" s="155"/>
      <c r="B148" s="155"/>
      <c r="K148" s="155"/>
      <c r="L148" s="155"/>
      <c r="M148" s="155"/>
    </row>
    <row r="149" spans="1:13" x14ac:dyDescent="0.15">
      <c r="A149" s="155"/>
      <c r="B149" s="155"/>
      <c r="K149" s="155"/>
      <c r="L149" s="155"/>
      <c r="M149" s="155"/>
    </row>
    <row r="150" spans="1:13" x14ac:dyDescent="0.15">
      <c r="A150" s="155"/>
      <c r="B150" s="155"/>
      <c r="K150" s="155"/>
      <c r="L150" s="155"/>
      <c r="M150" s="155"/>
    </row>
    <row r="151" spans="1:13" x14ac:dyDescent="0.15">
      <c r="A151" s="155"/>
      <c r="B151" s="155"/>
      <c r="K151" s="155"/>
      <c r="L151" s="155"/>
      <c r="M151" s="155"/>
    </row>
    <row r="152" spans="1:13" x14ac:dyDescent="0.15">
      <c r="A152" s="155"/>
      <c r="B152" s="155"/>
      <c r="K152" s="155"/>
      <c r="L152" s="155"/>
      <c r="M152" s="155"/>
    </row>
    <row r="153" spans="1:13" x14ac:dyDescent="0.15">
      <c r="A153" s="155"/>
      <c r="B153" s="155"/>
      <c r="K153" s="155"/>
      <c r="L153" s="155"/>
      <c r="M153" s="155"/>
    </row>
    <row r="154" spans="1:13" x14ac:dyDescent="0.15">
      <c r="A154" s="155"/>
      <c r="B154" s="155"/>
      <c r="K154" s="155"/>
      <c r="L154" s="155"/>
      <c r="M154" s="155"/>
    </row>
    <row r="155" spans="1:13" x14ac:dyDescent="0.15">
      <c r="A155" s="155"/>
      <c r="B155" s="155"/>
      <c r="K155" s="155"/>
      <c r="L155" s="155"/>
      <c r="M155" s="155"/>
    </row>
    <row r="156" spans="1:13" x14ac:dyDescent="0.15">
      <c r="A156" s="155"/>
      <c r="B156" s="155"/>
      <c r="K156" s="155"/>
      <c r="L156" s="155"/>
      <c r="M156" s="155"/>
    </row>
    <row r="157" spans="1:13" x14ac:dyDescent="0.15">
      <c r="A157" s="155"/>
      <c r="B157" s="155"/>
      <c r="K157" s="155"/>
      <c r="L157" s="155"/>
      <c r="M157" s="155"/>
    </row>
    <row r="158" spans="1:13" x14ac:dyDescent="0.15">
      <c r="A158" s="155"/>
      <c r="B158" s="155"/>
      <c r="K158" s="155"/>
      <c r="L158" s="155"/>
      <c r="M158" s="155"/>
    </row>
    <row r="159" spans="1:13" x14ac:dyDescent="0.15">
      <c r="A159" s="155"/>
      <c r="B159" s="155"/>
      <c r="K159" s="155"/>
      <c r="L159" s="155"/>
      <c r="M159" s="155"/>
    </row>
    <row r="160" spans="1:13" x14ac:dyDescent="0.15">
      <c r="A160" s="155"/>
      <c r="B160" s="155"/>
      <c r="K160" s="155"/>
      <c r="L160" s="155"/>
      <c r="M160" s="155"/>
    </row>
    <row r="161" spans="1:13" x14ac:dyDescent="0.15">
      <c r="A161" s="155"/>
      <c r="B161" s="155"/>
      <c r="K161" s="155"/>
      <c r="L161" s="155"/>
      <c r="M161" s="155"/>
    </row>
    <row r="162" spans="1:13" x14ac:dyDescent="0.15">
      <c r="A162" s="155"/>
      <c r="B162" s="155"/>
      <c r="K162" s="155"/>
      <c r="L162" s="155"/>
      <c r="M162" s="155"/>
    </row>
    <row r="163" spans="1:13" x14ac:dyDescent="0.15">
      <c r="A163" s="155"/>
      <c r="B163" s="155"/>
      <c r="K163" s="155"/>
      <c r="L163" s="155"/>
      <c r="M163" s="155"/>
    </row>
    <row r="164" spans="1:13" x14ac:dyDescent="0.15">
      <c r="A164" s="155"/>
      <c r="B164" s="155"/>
      <c r="K164" s="155"/>
      <c r="L164" s="155"/>
      <c r="M164" s="155"/>
    </row>
    <row r="165" spans="1:13" x14ac:dyDescent="0.15">
      <c r="A165" s="155"/>
      <c r="B165" s="155"/>
      <c r="K165" s="155"/>
      <c r="L165" s="155"/>
      <c r="M165" s="155"/>
    </row>
    <row r="166" spans="1:13" x14ac:dyDescent="0.15">
      <c r="A166" s="155"/>
      <c r="B166" s="155"/>
      <c r="K166" s="155"/>
      <c r="L166" s="155"/>
      <c r="M166" s="155"/>
    </row>
    <row r="167" spans="1:13" x14ac:dyDescent="0.15">
      <c r="A167" s="155"/>
      <c r="B167" s="155"/>
      <c r="K167" s="155"/>
      <c r="L167" s="155"/>
      <c r="M167" s="155"/>
    </row>
    <row r="168" spans="1:13" x14ac:dyDescent="0.15">
      <c r="A168" s="155"/>
      <c r="B168" s="155"/>
      <c r="K168" s="155"/>
      <c r="L168" s="155"/>
      <c r="M168" s="155"/>
    </row>
    <row r="169" spans="1:13" x14ac:dyDescent="0.15">
      <c r="A169" s="155"/>
      <c r="B169" s="155"/>
      <c r="K169" s="155"/>
      <c r="L169" s="155"/>
      <c r="M169" s="155"/>
    </row>
    <row r="170" spans="1:13" x14ac:dyDescent="0.15">
      <c r="A170" s="155"/>
      <c r="B170" s="155"/>
      <c r="K170" s="155"/>
      <c r="L170" s="155"/>
      <c r="M170" s="155"/>
    </row>
    <row r="171" spans="1:13" x14ac:dyDescent="0.15">
      <c r="A171" s="155"/>
      <c r="B171" s="155"/>
      <c r="K171" s="155"/>
      <c r="L171" s="155"/>
      <c r="M171" s="155"/>
    </row>
    <row r="172" spans="1:13" x14ac:dyDescent="0.15">
      <c r="A172" s="155"/>
      <c r="B172" s="155"/>
      <c r="K172" s="155"/>
      <c r="L172" s="155"/>
      <c r="M172" s="155"/>
    </row>
    <row r="173" spans="1:13" x14ac:dyDescent="0.15">
      <c r="A173" s="155"/>
      <c r="B173" s="155"/>
      <c r="K173" s="155"/>
      <c r="L173" s="155"/>
      <c r="M173" s="155"/>
    </row>
    <row r="174" spans="1:13" x14ac:dyDescent="0.15">
      <c r="A174" s="155"/>
      <c r="B174" s="155"/>
      <c r="K174" s="155"/>
      <c r="L174" s="155"/>
      <c r="M174" s="155"/>
    </row>
    <row r="175" spans="1:13" x14ac:dyDescent="0.15">
      <c r="A175" s="155"/>
      <c r="B175" s="155"/>
      <c r="K175" s="155"/>
      <c r="L175" s="155"/>
      <c r="M175" s="155"/>
    </row>
    <row r="176" spans="1:13" x14ac:dyDescent="0.15">
      <c r="A176" s="155"/>
      <c r="B176" s="155"/>
      <c r="K176" s="155"/>
      <c r="L176" s="155"/>
      <c r="M176" s="155"/>
    </row>
    <row r="177" spans="1:13" x14ac:dyDescent="0.15">
      <c r="A177" s="155"/>
      <c r="B177" s="155"/>
      <c r="K177" s="155"/>
      <c r="L177" s="155"/>
      <c r="M177" s="155"/>
    </row>
    <row r="178" spans="1:13" x14ac:dyDescent="0.15">
      <c r="A178" s="155"/>
      <c r="B178" s="155"/>
      <c r="K178" s="155"/>
      <c r="L178" s="155"/>
      <c r="M178" s="155"/>
    </row>
    <row r="179" spans="1:13" x14ac:dyDescent="0.15">
      <c r="A179" s="155"/>
      <c r="B179" s="155"/>
      <c r="K179" s="155"/>
      <c r="L179" s="155"/>
      <c r="M179" s="155"/>
    </row>
    <row r="180" spans="1:13" x14ac:dyDescent="0.15">
      <c r="A180" s="155"/>
      <c r="B180" s="155"/>
      <c r="K180" s="155"/>
      <c r="L180" s="155"/>
      <c r="M180" s="155"/>
    </row>
    <row r="181" spans="1:13" x14ac:dyDescent="0.15">
      <c r="A181" s="155"/>
      <c r="B181" s="155"/>
      <c r="K181" s="155"/>
      <c r="L181" s="155"/>
      <c r="M181" s="155"/>
    </row>
    <row r="182" spans="1:13" x14ac:dyDescent="0.15">
      <c r="A182" s="155"/>
      <c r="B182" s="155"/>
      <c r="K182" s="155"/>
      <c r="L182" s="155"/>
      <c r="M182" s="155"/>
    </row>
    <row r="183" spans="1:13" x14ac:dyDescent="0.15">
      <c r="A183" s="155"/>
      <c r="B183" s="155"/>
      <c r="K183" s="155"/>
      <c r="L183" s="155"/>
      <c r="M183" s="155"/>
    </row>
    <row r="184" spans="1:13" x14ac:dyDescent="0.15">
      <c r="A184" s="155"/>
      <c r="B184" s="155"/>
      <c r="K184" s="155"/>
      <c r="L184" s="155"/>
      <c r="M184" s="155"/>
    </row>
    <row r="185" spans="1:13" x14ac:dyDescent="0.15">
      <c r="A185" s="155"/>
      <c r="B185" s="155"/>
      <c r="K185" s="155"/>
      <c r="L185" s="155"/>
      <c r="M185" s="155"/>
    </row>
    <row r="186" spans="1:13" x14ac:dyDescent="0.15">
      <c r="A186" s="155"/>
      <c r="B186" s="155"/>
      <c r="K186" s="155"/>
      <c r="L186" s="155"/>
      <c r="M186" s="155"/>
    </row>
    <row r="187" spans="1:13" x14ac:dyDescent="0.15">
      <c r="A187" s="155"/>
      <c r="B187" s="155"/>
      <c r="K187" s="155"/>
      <c r="L187" s="155"/>
      <c r="M187" s="155"/>
    </row>
    <row r="188" spans="1:13" x14ac:dyDescent="0.15">
      <c r="A188" s="155"/>
      <c r="B188" s="155"/>
      <c r="K188" s="155"/>
      <c r="L188" s="155"/>
      <c r="M188" s="155"/>
    </row>
    <row r="189" spans="1:13" x14ac:dyDescent="0.15">
      <c r="A189" s="155"/>
      <c r="B189" s="155"/>
      <c r="K189" s="155"/>
      <c r="L189" s="155"/>
      <c r="M189" s="155"/>
    </row>
    <row r="190" spans="1:13" x14ac:dyDescent="0.15">
      <c r="A190" s="155"/>
      <c r="B190" s="155"/>
      <c r="K190" s="155"/>
      <c r="L190" s="155"/>
      <c r="M190" s="155"/>
    </row>
    <row r="191" spans="1:13" x14ac:dyDescent="0.15">
      <c r="A191" s="155"/>
      <c r="B191" s="155"/>
      <c r="K191" s="155"/>
      <c r="L191" s="155"/>
      <c r="M191" s="155"/>
    </row>
    <row r="192" spans="1:13" x14ac:dyDescent="0.15">
      <c r="A192" s="155"/>
      <c r="B192" s="155"/>
      <c r="K192" s="155"/>
      <c r="L192" s="155"/>
      <c r="M192" s="155"/>
    </row>
    <row r="193" spans="1:13" x14ac:dyDescent="0.15">
      <c r="A193" s="155"/>
      <c r="B193" s="155"/>
      <c r="K193" s="155"/>
      <c r="L193" s="155"/>
      <c r="M193" s="155"/>
    </row>
    <row r="194" spans="1:13" x14ac:dyDescent="0.15">
      <c r="A194" s="155"/>
      <c r="B194" s="155"/>
      <c r="K194" s="155"/>
      <c r="L194" s="155"/>
      <c r="M194" s="155"/>
    </row>
    <row r="195" spans="1:13" x14ac:dyDescent="0.15">
      <c r="A195" s="155"/>
      <c r="B195" s="155"/>
      <c r="K195" s="155"/>
      <c r="L195" s="155"/>
      <c r="M195" s="155"/>
    </row>
    <row r="196" spans="1:13" x14ac:dyDescent="0.15">
      <c r="A196" s="155"/>
      <c r="B196" s="155"/>
      <c r="K196" s="155"/>
      <c r="L196" s="155"/>
      <c r="M196" s="155"/>
    </row>
    <row r="197" spans="1:13" x14ac:dyDescent="0.15">
      <c r="A197" s="155"/>
      <c r="B197" s="155"/>
      <c r="K197" s="155"/>
      <c r="L197" s="155"/>
      <c r="M197" s="155"/>
    </row>
    <row r="198" spans="1:13" x14ac:dyDescent="0.15">
      <c r="A198" s="155"/>
      <c r="B198" s="155"/>
      <c r="K198" s="155"/>
      <c r="L198" s="155"/>
      <c r="M198" s="155"/>
    </row>
    <row r="199" spans="1:13" x14ac:dyDescent="0.15">
      <c r="A199" s="155"/>
      <c r="B199" s="155"/>
      <c r="K199" s="155"/>
      <c r="L199" s="155"/>
      <c r="M199" s="155"/>
    </row>
    <row r="200" spans="1:13" x14ac:dyDescent="0.15">
      <c r="A200" s="155"/>
      <c r="B200" s="155"/>
      <c r="K200" s="155"/>
      <c r="L200" s="155"/>
      <c r="M200" s="155"/>
    </row>
    <row r="201" spans="1:13" x14ac:dyDescent="0.15">
      <c r="A201" s="155"/>
      <c r="B201" s="155"/>
      <c r="K201" s="155"/>
      <c r="L201" s="155"/>
      <c r="M201" s="155"/>
    </row>
    <row r="202" spans="1:13" x14ac:dyDescent="0.15">
      <c r="A202" s="155"/>
      <c r="B202" s="155"/>
      <c r="K202" s="155"/>
      <c r="L202" s="155"/>
      <c r="M202" s="155"/>
    </row>
    <row r="203" spans="1:13" x14ac:dyDescent="0.15">
      <c r="A203" s="155"/>
      <c r="B203" s="155"/>
      <c r="K203" s="155"/>
      <c r="L203" s="155"/>
      <c r="M203" s="155"/>
    </row>
    <row r="204" spans="1:13" x14ac:dyDescent="0.15">
      <c r="A204" s="155"/>
      <c r="B204" s="155"/>
      <c r="K204" s="155"/>
      <c r="L204" s="155"/>
      <c r="M204" s="155"/>
    </row>
    <row r="205" spans="1:13" x14ac:dyDescent="0.15">
      <c r="A205" s="155"/>
      <c r="B205" s="155"/>
      <c r="K205" s="155"/>
      <c r="L205" s="155"/>
      <c r="M205" s="155"/>
    </row>
    <row r="206" spans="1:13" x14ac:dyDescent="0.15">
      <c r="A206" s="155"/>
      <c r="B206" s="155"/>
      <c r="K206" s="155"/>
      <c r="L206" s="155"/>
      <c r="M206" s="155"/>
    </row>
    <row r="207" spans="1:13" x14ac:dyDescent="0.15">
      <c r="A207" s="155"/>
      <c r="B207" s="155"/>
      <c r="K207" s="155"/>
      <c r="L207" s="155"/>
      <c r="M207" s="155"/>
    </row>
    <row r="208" spans="1:13" x14ac:dyDescent="0.15">
      <c r="A208" s="155"/>
      <c r="B208" s="155"/>
      <c r="K208" s="155"/>
      <c r="L208" s="155"/>
      <c r="M208" s="155"/>
    </row>
    <row r="209" spans="1:13" x14ac:dyDescent="0.15">
      <c r="A209" s="155"/>
      <c r="B209" s="155"/>
      <c r="K209" s="155"/>
      <c r="L209" s="155"/>
      <c r="M209" s="155"/>
    </row>
    <row r="210" spans="1:13" x14ac:dyDescent="0.15">
      <c r="A210" s="155"/>
      <c r="B210" s="155"/>
      <c r="K210" s="155"/>
      <c r="L210" s="155"/>
      <c r="M210" s="155"/>
    </row>
    <row r="211" spans="1:13" x14ac:dyDescent="0.15">
      <c r="A211" s="155"/>
      <c r="B211" s="155"/>
      <c r="K211" s="155"/>
      <c r="L211" s="155"/>
      <c r="M211" s="155"/>
    </row>
    <row r="212" spans="1:13" x14ac:dyDescent="0.15">
      <c r="A212" s="155"/>
      <c r="B212" s="155"/>
      <c r="K212" s="155"/>
      <c r="L212" s="155"/>
      <c r="M212" s="155"/>
    </row>
    <row r="213" spans="1:13" x14ac:dyDescent="0.15">
      <c r="A213" s="155"/>
      <c r="B213" s="155"/>
      <c r="K213" s="155"/>
      <c r="L213" s="155"/>
      <c r="M213" s="155"/>
    </row>
    <row r="214" spans="1:13" x14ac:dyDescent="0.15">
      <c r="A214" s="155"/>
      <c r="B214" s="155"/>
      <c r="K214" s="155"/>
      <c r="L214" s="155"/>
      <c r="M214" s="155"/>
    </row>
    <row r="215" spans="1:13" x14ac:dyDescent="0.15">
      <c r="A215" s="155"/>
      <c r="B215" s="155"/>
      <c r="K215" s="155"/>
      <c r="L215" s="155"/>
      <c r="M215" s="155"/>
    </row>
    <row r="216" spans="1:13" x14ac:dyDescent="0.15">
      <c r="A216" s="155"/>
      <c r="B216" s="155"/>
      <c r="K216" s="155"/>
      <c r="L216" s="155"/>
      <c r="M216" s="155"/>
    </row>
    <row r="217" spans="1:13" x14ac:dyDescent="0.15">
      <c r="A217" s="155"/>
      <c r="B217" s="155"/>
      <c r="K217" s="155"/>
      <c r="L217" s="155"/>
      <c r="M217" s="155"/>
    </row>
    <row r="218" spans="1:13" x14ac:dyDescent="0.15">
      <c r="A218" s="155"/>
      <c r="B218" s="155"/>
      <c r="K218" s="155"/>
      <c r="L218" s="155"/>
      <c r="M218" s="155"/>
    </row>
    <row r="219" spans="1:13" x14ac:dyDescent="0.15">
      <c r="A219" s="155"/>
      <c r="B219" s="155"/>
      <c r="K219" s="155"/>
      <c r="L219" s="155"/>
      <c r="M219" s="155"/>
    </row>
    <row r="220" spans="1:13" x14ac:dyDescent="0.15">
      <c r="A220" s="155"/>
      <c r="B220" s="155"/>
      <c r="K220" s="155"/>
      <c r="L220" s="155"/>
      <c r="M220" s="155"/>
    </row>
    <row r="221" spans="1:13" x14ac:dyDescent="0.15">
      <c r="A221" s="155"/>
      <c r="B221" s="155"/>
      <c r="K221" s="155"/>
      <c r="L221" s="155"/>
      <c r="M221" s="155"/>
    </row>
    <row r="222" spans="1:13" x14ac:dyDescent="0.15">
      <c r="A222" s="155"/>
      <c r="B222" s="155"/>
      <c r="K222" s="155"/>
      <c r="L222" s="155"/>
      <c r="M222" s="155"/>
    </row>
    <row r="223" spans="1:13" x14ac:dyDescent="0.15">
      <c r="A223" s="155"/>
      <c r="B223" s="155"/>
      <c r="K223" s="155"/>
      <c r="L223" s="155"/>
      <c r="M223" s="155"/>
    </row>
    <row r="224" spans="1:13" x14ac:dyDescent="0.15">
      <c r="A224" s="155"/>
      <c r="B224" s="155"/>
      <c r="K224" s="155"/>
      <c r="L224" s="155"/>
      <c r="M224" s="155"/>
    </row>
    <row r="225" spans="1:13" x14ac:dyDescent="0.15">
      <c r="A225" s="155"/>
      <c r="B225" s="155"/>
      <c r="K225" s="155"/>
      <c r="L225" s="155"/>
      <c r="M225" s="155"/>
    </row>
    <row r="226" spans="1:13" x14ac:dyDescent="0.15">
      <c r="A226" s="155"/>
      <c r="B226" s="155"/>
      <c r="K226" s="155"/>
      <c r="L226" s="155"/>
      <c r="M226" s="155"/>
    </row>
    <row r="227" spans="1:13" x14ac:dyDescent="0.15">
      <c r="A227" s="155"/>
      <c r="B227" s="155"/>
      <c r="K227" s="155"/>
      <c r="L227" s="155"/>
      <c r="M227" s="155"/>
    </row>
    <row r="228" spans="1:13" x14ac:dyDescent="0.15">
      <c r="A228" s="155"/>
      <c r="B228" s="155"/>
      <c r="K228" s="155"/>
      <c r="L228" s="155"/>
      <c r="M228" s="155"/>
    </row>
    <row r="229" spans="1:13" x14ac:dyDescent="0.15">
      <c r="A229" s="155"/>
      <c r="B229" s="155"/>
      <c r="K229" s="155"/>
      <c r="L229" s="155"/>
      <c r="M229" s="155"/>
    </row>
    <row r="230" spans="1:13" x14ac:dyDescent="0.15">
      <c r="A230" s="155"/>
      <c r="B230" s="155"/>
      <c r="K230" s="155"/>
      <c r="L230" s="155"/>
      <c r="M230" s="155"/>
    </row>
    <row r="231" spans="1:13" x14ac:dyDescent="0.15">
      <c r="A231" s="155"/>
      <c r="B231" s="155"/>
      <c r="K231" s="155"/>
      <c r="L231" s="155"/>
      <c r="M231" s="155"/>
    </row>
    <row r="232" spans="1:13" x14ac:dyDescent="0.15">
      <c r="A232" s="155"/>
      <c r="B232" s="155"/>
      <c r="K232" s="155"/>
      <c r="L232" s="155"/>
      <c r="M232" s="155"/>
    </row>
    <row r="233" spans="1:13" x14ac:dyDescent="0.15">
      <c r="A233" s="155"/>
      <c r="B233" s="155"/>
      <c r="K233" s="155"/>
      <c r="L233" s="155"/>
      <c r="M233" s="155"/>
    </row>
    <row r="234" spans="1:13" x14ac:dyDescent="0.15">
      <c r="A234" s="155"/>
      <c r="B234" s="155"/>
      <c r="K234" s="155"/>
      <c r="L234" s="155"/>
      <c r="M234" s="155"/>
    </row>
    <row r="235" spans="1:13" x14ac:dyDescent="0.15">
      <c r="A235" s="155"/>
      <c r="B235" s="155"/>
      <c r="K235" s="155"/>
      <c r="L235" s="155"/>
      <c r="M235" s="155"/>
    </row>
    <row r="236" spans="1:13" x14ac:dyDescent="0.15">
      <c r="A236" s="155"/>
      <c r="B236" s="155"/>
      <c r="K236" s="155"/>
      <c r="L236" s="155"/>
      <c r="M236" s="155"/>
    </row>
    <row r="237" spans="1:13" x14ac:dyDescent="0.15">
      <c r="A237" s="155"/>
      <c r="B237" s="155"/>
      <c r="K237" s="155"/>
      <c r="L237" s="155"/>
      <c r="M237" s="155"/>
    </row>
    <row r="238" spans="1:13" x14ac:dyDescent="0.15">
      <c r="A238" s="155"/>
      <c r="B238" s="155"/>
      <c r="K238" s="155"/>
      <c r="L238" s="155"/>
      <c r="M238" s="155"/>
    </row>
    <row r="239" spans="1:13" x14ac:dyDescent="0.15">
      <c r="A239" s="155"/>
      <c r="B239" s="155"/>
      <c r="K239" s="155"/>
      <c r="L239" s="155"/>
      <c r="M239" s="155"/>
    </row>
    <row r="240" spans="1:13" x14ac:dyDescent="0.15">
      <c r="A240" s="155"/>
      <c r="B240" s="155"/>
      <c r="K240" s="155"/>
      <c r="L240" s="155"/>
      <c r="M240" s="155"/>
    </row>
    <row r="241" spans="1:13" x14ac:dyDescent="0.15">
      <c r="A241" s="155"/>
      <c r="B241" s="155"/>
      <c r="K241" s="155"/>
      <c r="L241" s="155"/>
      <c r="M241" s="155"/>
    </row>
    <row r="242" spans="1:13" x14ac:dyDescent="0.15">
      <c r="A242" s="155"/>
      <c r="B242" s="155"/>
      <c r="K242" s="155"/>
      <c r="L242" s="155"/>
      <c r="M242" s="155"/>
    </row>
    <row r="243" spans="1:13" x14ac:dyDescent="0.15">
      <c r="A243" s="155"/>
      <c r="B243" s="155"/>
      <c r="K243" s="155"/>
      <c r="L243" s="155"/>
      <c r="M243" s="155"/>
    </row>
    <row r="244" spans="1:13" x14ac:dyDescent="0.15">
      <c r="A244" s="155"/>
      <c r="B244" s="155"/>
      <c r="K244" s="155"/>
      <c r="L244" s="155"/>
      <c r="M244" s="155"/>
    </row>
    <row r="245" spans="1:13" x14ac:dyDescent="0.15">
      <c r="A245" s="155"/>
      <c r="B245" s="155"/>
      <c r="K245" s="155"/>
      <c r="L245" s="155"/>
      <c r="M245" s="155"/>
    </row>
    <row r="246" spans="1:13" x14ac:dyDescent="0.15">
      <c r="A246" s="155"/>
      <c r="B246" s="155"/>
      <c r="K246" s="155"/>
      <c r="L246" s="155"/>
      <c r="M246" s="155"/>
    </row>
    <row r="247" spans="1:13" x14ac:dyDescent="0.15">
      <c r="A247" s="155"/>
      <c r="B247" s="155"/>
      <c r="K247" s="155"/>
      <c r="L247" s="155"/>
      <c r="M247" s="155"/>
    </row>
    <row r="248" spans="1:13" x14ac:dyDescent="0.15">
      <c r="A248" s="155"/>
      <c r="B248" s="155"/>
      <c r="K248" s="155"/>
      <c r="L248" s="155"/>
      <c r="M248" s="155"/>
    </row>
    <row r="249" spans="1:13" x14ac:dyDescent="0.15">
      <c r="A249" s="155"/>
      <c r="B249" s="155"/>
      <c r="K249" s="155"/>
      <c r="L249" s="155"/>
      <c r="M249" s="155"/>
    </row>
    <row r="250" spans="1:13" x14ac:dyDescent="0.15">
      <c r="A250" s="155"/>
      <c r="B250" s="155"/>
      <c r="K250" s="155"/>
      <c r="L250" s="155"/>
      <c r="M250" s="155"/>
    </row>
    <row r="251" spans="1:13" x14ac:dyDescent="0.15">
      <c r="A251" s="155"/>
      <c r="B251" s="155"/>
      <c r="K251" s="155"/>
      <c r="L251" s="155"/>
      <c r="M251" s="155"/>
    </row>
    <row r="252" spans="1:13" x14ac:dyDescent="0.15">
      <c r="A252" s="155"/>
      <c r="B252" s="155"/>
      <c r="K252" s="155"/>
      <c r="L252" s="155"/>
      <c r="M252" s="155"/>
    </row>
    <row r="253" spans="1:13" x14ac:dyDescent="0.15">
      <c r="A253" s="155"/>
      <c r="B253" s="155"/>
      <c r="K253" s="155"/>
      <c r="L253" s="155"/>
      <c r="M253" s="155"/>
    </row>
    <row r="254" spans="1:13" x14ac:dyDescent="0.15">
      <c r="A254" s="155"/>
      <c r="B254" s="155"/>
      <c r="K254" s="155"/>
      <c r="L254" s="155"/>
      <c r="M254" s="155"/>
    </row>
    <row r="255" spans="1:13" x14ac:dyDescent="0.15">
      <c r="A255" s="155"/>
      <c r="B255" s="155"/>
      <c r="K255" s="155"/>
      <c r="L255" s="155"/>
      <c r="M255" s="155"/>
    </row>
    <row r="256" spans="1:13" x14ac:dyDescent="0.15">
      <c r="A256" s="155"/>
      <c r="B256" s="155"/>
      <c r="K256" s="155"/>
      <c r="L256" s="155"/>
      <c r="M256" s="155"/>
    </row>
    <row r="257" spans="1:13" x14ac:dyDescent="0.15">
      <c r="A257" s="155"/>
      <c r="B257" s="155"/>
      <c r="K257" s="155"/>
      <c r="L257" s="155"/>
      <c r="M257" s="155"/>
    </row>
    <row r="258" spans="1:13" x14ac:dyDescent="0.15">
      <c r="A258" s="155"/>
      <c r="B258" s="155"/>
      <c r="K258" s="155"/>
      <c r="L258" s="155"/>
      <c r="M258" s="155"/>
    </row>
    <row r="259" spans="1:13" x14ac:dyDescent="0.15">
      <c r="A259" s="155"/>
      <c r="B259" s="155"/>
      <c r="K259" s="155"/>
      <c r="L259" s="155"/>
      <c r="M259" s="155"/>
    </row>
    <row r="260" spans="1:13" x14ac:dyDescent="0.15">
      <c r="A260" s="155"/>
      <c r="B260" s="155"/>
      <c r="K260" s="155"/>
      <c r="L260" s="155"/>
      <c r="M260" s="155"/>
    </row>
    <row r="261" spans="1:13" x14ac:dyDescent="0.15">
      <c r="A261" s="155"/>
      <c r="B261" s="155"/>
      <c r="K261" s="155"/>
      <c r="L261" s="155"/>
      <c r="M261" s="155"/>
    </row>
    <row r="262" spans="1:13" x14ac:dyDescent="0.15">
      <c r="A262" s="155"/>
      <c r="B262" s="155"/>
      <c r="K262" s="155"/>
      <c r="L262" s="155"/>
      <c r="M262" s="155"/>
    </row>
    <row r="263" spans="1:13" x14ac:dyDescent="0.15">
      <c r="A263" s="155"/>
      <c r="B263" s="155"/>
      <c r="K263" s="155"/>
      <c r="L263" s="155"/>
      <c r="M263" s="155"/>
    </row>
    <row r="264" spans="1:13" x14ac:dyDescent="0.15">
      <c r="A264" s="155"/>
      <c r="B264" s="155"/>
      <c r="K264" s="155"/>
      <c r="L264" s="155"/>
      <c r="M264" s="155"/>
    </row>
    <row r="265" spans="1:13" x14ac:dyDescent="0.15">
      <c r="A265" s="155"/>
      <c r="B265" s="155"/>
      <c r="K265" s="155"/>
      <c r="L265" s="155"/>
      <c r="M265" s="155"/>
    </row>
    <row r="266" spans="1:13" x14ac:dyDescent="0.15">
      <c r="A266" s="155"/>
      <c r="B266" s="155"/>
      <c r="K266" s="155"/>
      <c r="L266" s="155"/>
      <c r="M266" s="155"/>
    </row>
    <row r="267" spans="1:13" x14ac:dyDescent="0.15">
      <c r="A267" s="155"/>
      <c r="B267" s="155"/>
      <c r="K267" s="155"/>
      <c r="L267" s="155"/>
      <c r="M267" s="155"/>
    </row>
    <row r="268" spans="1:13" x14ac:dyDescent="0.15">
      <c r="A268" s="155"/>
      <c r="B268" s="155"/>
      <c r="K268" s="155"/>
      <c r="L268" s="155"/>
      <c r="M268" s="155"/>
    </row>
    <row r="269" spans="1:13" x14ac:dyDescent="0.15">
      <c r="A269" s="155"/>
      <c r="B269" s="155"/>
      <c r="K269" s="155"/>
      <c r="L269" s="155"/>
      <c r="M269" s="155"/>
    </row>
    <row r="270" spans="1:13" x14ac:dyDescent="0.15">
      <c r="A270" s="155"/>
      <c r="B270" s="155"/>
      <c r="K270" s="155"/>
      <c r="L270" s="155"/>
      <c r="M270" s="155"/>
    </row>
    <row r="271" spans="1:13" x14ac:dyDescent="0.15">
      <c r="A271" s="155"/>
      <c r="B271" s="155"/>
      <c r="K271" s="155"/>
      <c r="L271" s="155"/>
      <c r="M271" s="155"/>
    </row>
    <row r="272" spans="1:13" x14ac:dyDescent="0.15">
      <c r="A272" s="155"/>
      <c r="B272" s="155"/>
      <c r="K272" s="155"/>
      <c r="L272" s="155"/>
      <c r="M272" s="155"/>
    </row>
    <row r="273" spans="1:13" x14ac:dyDescent="0.15">
      <c r="A273" s="155"/>
      <c r="B273" s="155"/>
      <c r="K273" s="155"/>
      <c r="L273" s="155"/>
      <c r="M273" s="155"/>
    </row>
    <row r="274" spans="1:13" x14ac:dyDescent="0.15">
      <c r="A274" s="155"/>
      <c r="B274" s="155"/>
      <c r="K274" s="155"/>
      <c r="L274" s="155"/>
      <c r="M274" s="155"/>
    </row>
    <row r="275" spans="1:13" x14ac:dyDescent="0.15">
      <c r="A275" s="155"/>
      <c r="B275" s="155"/>
      <c r="K275" s="155"/>
      <c r="L275" s="155"/>
      <c r="M275" s="155"/>
    </row>
    <row r="276" spans="1:13" x14ac:dyDescent="0.15">
      <c r="A276" s="155"/>
      <c r="B276" s="155"/>
      <c r="K276" s="155"/>
      <c r="L276" s="155"/>
      <c r="M276" s="155"/>
    </row>
    <row r="277" spans="1:13" x14ac:dyDescent="0.15">
      <c r="A277" s="155"/>
      <c r="B277" s="155"/>
      <c r="K277" s="155"/>
      <c r="L277" s="155"/>
      <c r="M277" s="155"/>
    </row>
    <row r="278" spans="1:13" x14ac:dyDescent="0.15">
      <c r="A278" s="155"/>
      <c r="B278" s="155"/>
      <c r="K278" s="155"/>
      <c r="L278" s="155"/>
      <c r="M278" s="155"/>
    </row>
    <row r="279" spans="1:13" x14ac:dyDescent="0.15">
      <c r="A279" s="155"/>
      <c r="B279" s="155"/>
      <c r="K279" s="155"/>
      <c r="L279" s="155"/>
      <c r="M279" s="155"/>
    </row>
    <row r="280" spans="1:13" x14ac:dyDescent="0.15">
      <c r="A280" s="155"/>
      <c r="B280" s="155"/>
      <c r="K280" s="155"/>
      <c r="L280" s="155"/>
      <c r="M280" s="155"/>
    </row>
    <row r="281" spans="1:13" x14ac:dyDescent="0.15">
      <c r="A281" s="155"/>
      <c r="B281" s="155"/>
      <c r="K281" s="155"/>
      <c r="L281" s="155"/>
      <c r="M281" s="155"/>
    </row>
    <row r="282" spans="1:13" x14ac:dyDescent="0.15">
      <c r="A282" s="155"/>
      <c r="B282" s="155"/>
      <c r="K282" s="155"/>
      <c r="L282" s="155"/>
      <c r="M282" s="155"/>
    </row>
    <row r="283" spans="1:13" x14ac:dyDescent="0.15">
      <c r="A283" s="155"/>
      <c r="B283" s="155"/>
      <c r="K283" s="155"/>
      <c r="L283" s="155"/>
      <c r="M283" s="155"/>
    </row>
    <row r="284" spans="1:13" x14ac:dyDescent="0.15">
      <c r="A284" s="155"/>
      <c r="B284" s="155"/>
      <c r="K284" s="155"/>
      <c r="L284" s="155"/>
      <c r="M284" s="155"/>
    </row>
    <row r="285" spans="1:13" x14ac:dyDescent="0.15">
      <c r="A285" s="155"/>
      <c r="B285" s="155"/>
      <c r="K285" s="155"/>
      <c r="L285" s="155"/>
      <c r="M285" s="155"/>
    </row>
    <row r="286" spans="1:13" x14ac:dyDescent="0.15">
      <c r="A286" s="155"/>
      <c r="B286" s="155"/>
      <c r="K286" s="155"/>
      <c r="L286" s="155"/>
      <c r="M286" s="155"/>
    </row>
    <row r="287" spans="1:13" x14ac:dyDescent="0.15">
      <c r="A287" s="155"/>
      <c r="B287" s="155"/>
      <c r="K287" s="155"/>
      <c r="L287" s="155"/>
      <c r="M287" s="155"/>
    </row>
    <row r="288" spans="1:13" x14ac:dyDescent="0.15">
      <c r="A288" s="155"/>
      <c r="B288" s="155"/>
      <c r="K288" s="155"/>
      <c r="L288" s="155"/>
      <c r="M288" s="155"/>
    </row>
    <row r="289" spans="1:13" x14ac:dyDescent="0.15">
      <c r="A289" s="155"/>
      <c r="B289" s="155"/>
      <c r="K289" s="155"/>
      <c r="L289" s="155"/>
      <c r="M289" s="155"/>
    </row>
    <row r="290" spans="1:13" x14ac:dyDescent="0.15">
      <c r="A290" s="155"/>
      <c r="B290" s="155"/>
      <c r="K290" s="155"/>
      <c r="L290" s="155"/>
      <c r="M290" s="155"/>
    </row>
    <row r="291" spans="1:13" x14ac:dyDescent="0.15">
      <c r="A291" s="155"/>
      <c r="B291" s="155"/>
      <c r="K291" s="155"/>
      <c r="L291" s="155"/>
      <c r="M291" s="155"/>
    </row>
    <row r="292" spans="1:13" x14ac:dyDescent="0.15">
      <c r="A292" s="155"/>
      <c r="B292" s="155"/>
      <c r="K292" s="155"/>
      <c r="L292" s="155"/>
      <c r="M292" s="155"/>
    </row>
    <row r="293" spans="1:13" x14ac:dyDescent="0.15">
      <c r="A293" s="155"/>
      <c r="B293" s="155"/>
      <c r="K293" s="155"/>
      <c r="L293" s="155"/>
      <c r="M293" s="155"/>
    </row>
    <row r="294" spans="1:13" x14ac:dyDescent="0.15">
      <c r="A294" s="155"/>
      <c r="B294" s="155"/>
      <c r="K294" s="155"/>
      <c r="L294" s="155"/>
      <c r="M294" s="155"/>
    </row>
    <row r="295" spans="1:13" x14ac:dyDescent="0.15">
      <c r="A295" s="155"/>
      <c r="B295" s="155"/>
      <c r="K295" s="155"/>
      <c r="L295" s="155"/>
      <c r="M295" s="155"/>
    </row>
    <row r="296" spans="1:13" x14ac:dyDescent="0.15">
      <c r="A296" s="155"/>
      <c r="B296" s="155"/>
      <c r="K296" s="155"/>
      <c r="L296" s="155"/>
      <c r="M296" s="155"/>
    </row>
    <row r="297" spans="1:13" x14ac:dyDescent="0.15">
      <c r="A297" s="155"/>
      <c r="B297" s="155"/>
      <c r="K297" s="155"/>
      <c r="L297" s="155"/>
      <c r="M297" s="155"/>
    </row>
    <row r="298" spans="1:13" x14ac:dyDescent="0.15">
      <c r="A298" s="155"/>
      <c r="B298" s="155"/>
      <c r="K298" s="155"/>
      <c r="L298" s="155"/>
      <c r="M298" s="155"/>
    </row>
    <row r="299" spans="1:13" x14ac:dyDescent="0.15">
      <c r="A299" s="155"/>
      <c r="B299" s="155"/>
      <c r="K299" s="155"/>
      <c r="L299" s="155"/>
      <c r="M299" s="155"/>
    </row>
    <row r="300" spans="1:13" x14ac:dyDescent="0.15">
      <c r="A300" s="155"/>
      <c r="B300" s="155"/>
      <c r="K300" s="155"/>
      <c r="L300" s="155"/>
      <c r="M300" s="155"/>
    </row>
    <row r="301" spans="1:13" x14ac:dyDescent="0.15">
      <c r="A301" s="155"/>
      <c r="B301" s="155"/>
      <c r="K301" s="155"/>
      <c r="L301" s="155"/>
      <c r="M301" s="155"/>
    </row>
    <row r="302" spans="1:13" x14ac:dyDescent="0.15">
      <c r="A302" s="155"/>
      <c r="B302" s="155"/>
      <c r="K302" s="155"/>
      <c r="L302" s="155"/>
      <c r="M302" s="155"/>
    </row>
    <row r="303" spans="1:13" x14ac:dyDescent="0.15">
      <c r="A303" s="155"/>
      <c r="B303" s="155"/>
      <c r="K303" s="155"/>
      <c r="L303" s="155"/>
      <c r="M303" s="155"/>
    </row>
    <row r="304" spans="1:13" x14ac:dyDescent="0.15">
      <c r="A304" s="155"/>
      <c r="B304" s="155"/>
      <c r="K304" s="155"/>
      <c r="L304" s="155"/>
      <c r="M304" s="155"/>
    </row>
    <row r="305" spans="1:13" x14ac:dyDescent="0.15">
      <c r="A305" s="155"/>
      <c r="B305" s="155"/>
      <c r="K305" s="155"/>
      <c r="L305" s="155"/>
      <c r="M305" s="155"/>
    </row>
    <row r="306" spans="1:13" x14ac:dyDescent="0.15">
      <c r="A306" s="155"/>
      <c r="B306" s="155"/>
      <c r="K306" s="155"/>
      <c r="L306" s="155"/>
      <c r="M306" s="155"/>
    </row>
    <row r="307" spans="1:13" x14ac:dyDescent="0.15">
      <c r="A307" s="155"/>
      <c r="B307" s="155"/>
      <c r="K307" s="155"/>
      <c r="L307" s="155"/>
      <c r="M307" s="155"/>
    </row>
    <row r="308" spans="1:13" x14ac:dyDescent="0.15">
      <c r="A308" s="155"/>
      <c r="B308" s="155"/>
      <c r="K308" s="155"/>
      <c r="L308" s="155"/>
      <c r="M308" s="155"/>
    </row>
    <row r="309" spans="1:13" x14ac:dyDescent="0.15">
      <c r="A309" s="155"/>
      <c r="B309" s="155"/>
      <c r="K309" s="155"/>
      <c r="L309" s="155"/>
      <c r="M309" s="155"/>
    </row>
    <row r="310" spans="1:13" x14ac:dyDescent="0.15">
      <c r="A310" s="155"/>
      <c r="B310" s="155"/>
      <c r="K310" s="155"/>
      <c r="L310" s="155"/>
      <c r="M310" s="155"/>
    </row>
    <row r="311" spans="1:13" x14ac:dyDescent="0.15">
      <c r="A311" s="155"/>
      <c r="B311" s="155"/>
      <c r="K311" s="155"/>
      <c r="L311" s="155"/>
      <c r="M311" s="155"/>
    </row>
    <row r="312" spans="1:13" x14ac:dyDescent="0.15">
      <c r="A312" s="155"/>
      <c r="B312" s="155"/>
      <c r="K312" s="155"/>
      <c r="L312" s="155"/>
      <c r="M312" s="155"/>
    </row>
    <row r="313" spans="1:13" x14ac:dyDescent="0.15">
      <c r="A313" s="155"/>
      <c r="B313" s="155"/>
      <c r="K313" s="155"/>
      <c r="L313" s="155"/>
      <c r="M313" s="155"/>
    </row>
    <row r="314" spans="1:13" x14ac:dyDescent="0.15">
      <c r="A314" s="155"/>
      <c r="B314" s="155"/>
      <c r="K314" s="155"/>
      <c r="L314" s="155"/>
      <c r="M314" s="155"/>
    </row>
    <row r="315" spans="1:13" x14ac:dyDescent="0.15">
      <c r="A315" s="155"/>
      <c r="B315" s="155"/>
      <c r="K315" s="155"/>
      <c r="L315" s="155"/>
      <c r="M315" s="155"/>
    </row>
    <row r="316" spans="1:13" x14ac:dyDescent="0.15">
      <c r="A316" s="155"/>
      <c r="B316" s="155"/>
      <c r="K316" s="155"/>
      <c r="L316" s="155"/>
      <c r="M316" s="155"/>
    </row>
    <row r="317" spans="1:13" x14ac:dyDescent="0.15">
      <c r="A317" s="155"/>
      <c r="B317" s="155"/>
      <c r="K317" s="155"/>
      <c r="L317" s="155"/>
      <c r="M317" s="155"/>
    </row>
    <row r="318" spans="1:13" x14ac:dyDescent="0.15">
      <c r="A318" s="155"/>
      <c r="B318" s="155"/>
      <c r="K318" s="155"/>
      <c r="L318" s="155"/>
      <c r="M318" s="155"/>
    </row>
    <row r="319" spans="1:13" x14ac:dyDescent="0.15">
      <c r="A319" s="155"/>
      <c r="B319" s="155"/>
      <c r="K319" s="155"/>
      <c r="L319" s="155"/>
      <c r="M319" s="155"/>
    </row>
    <row r="320" spans="1:13" x14ac:dyDescent="0.15">
      <c r="A320" s="155"/>
      <c r="B320" s="155"/>
      <c r="K320" s="155"/>
      <c r="L320" s="155"/>
      <c r="M320" s="155"/>
    </row>
    <row r="321" spans="1:13" x14ac:dyDescent="0.15">
      <c r="A321" s="155"/>
      <c r="B321" s="155"/>
      <c r="K321" s="155"/>
      <c r="L321" s="155"/>
      <c r="M321" s="155"/>
    </row>
    <row r="322" spans="1:13" x14ac:dyDescent="0.15">
      <c r="A322" s="155"/>
      <c r="B322" s="155"/>
      <c r="K322" s="155"/>
      <c r="L322" s="155"/>
      <c r="M322" s="155"/>
    </row>
    <row r="323" spans="1:13" x14ac:dyDescent="0.15">
      <c r="A323" s="155"/>
      <c r="B323" s="155"/>
      <c r="K323" s="155"/>
      <c r="L323" s="155"/>
      <c r="M323" s="155"/>
    </row>
    <row r="324" spans="1:13" x14ac:dyDescent="0.15">
      <c r="A324" s="155"/>
      <c r="B324" s="155"/>
      <c r="K324" s="155"/>
      <c r="L324" s="155"/>
      <c r="M324" s="155"/>
    </row>
    <row r="325" spans="1:13" x14ac:dyDescent="0.15">
      <c r="A325" s="155"/>
      <c r="B325" s="155"/>
      <c r="K325" s="155"/>
      <c r="L325" s="155"/>
      <c r="M325" s="155"/>
    </row>
    <row r="326" spans="1:13" x14ac:dyDescent="0.15">
      <c r="A326" s="155"/>
      <c r="B326" s="155"/>
      <c r="K326" s="155"/>
      <c r="L326" s="155"/>
      <c r="M326" s="155"/>
    </row>
    <row r="327" spans="1:13" x14ac:dyDescent="0.15">
      <c r="A327" s="155"/>
      <c r="B327" s="155"/>
      <c r="K327" s="155"/>
      <c r="L327" s="155"/>
      <c r="M327" s="155"/>
    </row>
    <row r="328" spans="1:13" x14ac:dyDescent="0.15">
      <c r="A328" s="155"/>
      <c r="B328" s="155"/>
      <c r="K328" s="155"/>
      <c r="L328" s="155"/>
      <c r="M328" s="155"/>
    </row>
    <row r="329" spans="1:13" x14ac:dyDescent="0.15">
      <c r="A329" s="155"/>
      <c r="B329" s="155"/>
      <c r="K329" s="155"/>
      <c r="L329" s="155"/>
      <c r="M329" s="155"/>
    </row>
    <row r="330" spans="1:13" x14ac:dyDescent="0.15">
      <c r="A330" s="155"/>
      <c r="B330" s="155"/>
      <c r="K330" s="155"/>
      <c r="L330" s="155"/>
      <c r="M330" s="155"/>
    </row>
    <row r="331" spans="1:13" x14ac:dyDescent="0.15">
      <c r="A331" s="155"/>
      <c r="B331" s="155"/>
      <c r="K331" s="155"/>
      <c r="L331" s="155"/>
      <c r="M331" s="155"/>
    </row>
    <row r="332" spans="1:13" x14ac:dyDescent="0.15">
      <c r="A332" s="155"/>
      <c r="B332" s="155"/>
      <c r="K332" s="155"/>
      <c r="L332" s="155"/>
      <c r="M332" s="155"/>
    </row>
    <row r="333" spans="1:13" x14ac:dyDescent="0.15">
      <c r="A333" s="155"/>
      <c r="B333" s="155"/>
      <c r="K333" s="155"/>
      <c r="L333" s="155"/>
      <c r="M333" s="155"/>
    </row>
    <row r="334" spans="1:13" x14ac:dyDescent="0.15">
      <c r="A334" s="155"/>
      <c r="B334" s="155"/>
      <c r="K334" s="155"/>
      <c r="L334" s="155"/>
      <c r="M334" s="155"/>
    </row>
    <row r="335" spans="1:13" x14ac:dyDescent="0.15">
      <c r="A335" s="155"/>
      <c r="B335" s="155"/>
      <c r="K335" s="155"/>
      <c r="L335" s="155"/>
      <c r="M335" s="155"/>
    </row>
    <row r="336" spans="1:13" x14ac:dyDescent="0.15">
      <c r="A336" s="155"/>
      <c r="B336" s="155"/>
      <c r="K336" s="155"/>
      <c r="L336" s="155"/>
      <c r="M336" s="155"/>
    </row>
    <row r="337" spans="1:13" x14ac:dyDescent="0.15">
      <c r="A337" s="155"/>
      <c r="B337" s="155"/>
      <c r="K337" s="155"/>
      <c r="L337" s="155"/>
      <c r="M337" s="155"/>
    </row>
    <row r="338" spans="1:13" x14ac:dyDescent="0.15">
      <c r="A338" s="155"/>
      <c r="B338" s="155"/>
      <c r="K338" s="155"/>
      <c r="L338" s="155"/>
      <c r="M338" s="155"/>
    </row>
    <row r="339" spans="1:13" x14ac:dyDescent="0.15">
      <c r="A339" s="155"/>
      <c r="B339" s="155"/>
      <c r="K339" s="155"/>
      <c r="L339" s="155"/>
      <c r="M339" s="155"/>
    </row>
    <row r="340" spans="1:13" x14ac:dyDescent="0.15">
      <c r="A340" s="155"/>
      <c r="B340" s="155"/>
      <c r="K340" s="155"/>
      <c r="L340" s="155"/>
      <c r="M340" s="155"/>
    </row>
    <row r="341" spans="1:13" x14ac:dyDescent="0.15">
      <c r="A341" s="155"/>
      <c r="B341" s="155"/>
      <c r="K341" s="155"/>
      <c r="L341" s="155"/>
      <c r="M341" s="155"/>
    </row>
    <row r="342" spans="1:13" x14ac:dyDescent="0.15">
      <c r="A342" s="155"/>
      <c r="B342" s="155"/>
      <c r="K342" s="155"/>
      <c r="L342" s="155"/>
      <c r="M342" s="155"/>
    </row>
    <row r="343" spans="1:13" x14ac:dyDescent="0.15">
      <c r="A343" s="155"/>
      <c r="B343" s="155"/>
      <c r="K343" s="155"/>
      <c r="L343" s="155"/>
      <c r="M343" s="155"/>
    </row>
    <row r="344" spans="1:13" x14ac:dyDescent="0.15">
      <c r="A344" s="155"/>
      <c r="B344" s="155"/>
      <c r="K344" s="155"/>
      <c r="L344" s="155"/>
      <c r="M344" s="155"/>
    </row>
    <row r="345" spans="1:13" x14ac:dyDescent="0.15">
      <c r="A345" s="155"/>
      <c r="B345" s="155"/>
      <c r="K345" s="155"/>
      <c r="L345" s="155"/>
      <c r="M345" s="155"/>
    </row>
    <row r="346" spans="1:13" x14ac:dyDescent="0.15">
      <c r="A346" s="155"/>
      <c r="B346" s="155"/>
      <c r="K346" s="155"/>
      <c r="L346" s="155"/>
      <c r="M346" s="155"/>
    </row>
    <row r="347" spans="1:13" x14ac:dyDescent="0.15">
      <c r="A347" s="155"/>
      <c r="B347" s="155"/>
      <c r="K347" s="155"/>
      <c r="L347" s="155"/>
      <c r="M347" s="155"/>
    </row>
    <row r="348" spans="1:13" x14ac:dyDescent="0.15">
      <c r="A348" s="155"/>
      <c r="B348" s="155"/>
      <c r="K348" s="155"/>
      <c r="L348" s="155"/>
      <c r="M348" s="155"/>
    </row>
    <row r="349" spans="1:13" x14ac:dyDescent="0.15">
      <c r="A349" s="155"/>
      <c r="B349" s="155"/>
      <c r="K349" s="155"/>
      <c r="L349" s="155"/>
      <c r="M349" s="155"/>
    </row>
    <row r="350" spans="1:13" x14ac:dyDescent="0.15">
      <c r="A350" s="155"/>
      <c r="B350" s="155"/>
      <c r="K350" s="155"/>
      <c r="L350" s="155"/>
      <c r="M350" s="155"/>
    </row>
    <row r="351" spans="1:13" x14ac:dyDescent="0.15">
      <c r="A351" s="155"/>
      <c r="B351" s="155"/>
      <c r="K351" s="155"/>
      <c r="L351" s="155"/>
      <c r="M351" s="155"/>
    </row>
    <row r="352" spans="1:13" x14ac:dyDescent="0.15">
      <c r="A352" s="155"/>
      <c r="B352" s="155"/>
      <c r="K352" s="155"/>
      <c r="L352" s="155"/>
      <c r="M352" s="155"/>
    </row>
    <row r="353" spans="1:13" x14ac:dyDescent="0.15">
      <c r="A353" s="155"/>
      <c r="B353" s="155"/>
      <c r="K353" s="155"/>
      <c r="L353" s="155"/>
      <c r="M353" s="155"/>
    </row>
    <row r="354" spans="1:13" x14ac:dyDescent="0.15">
      <c r="A354" s="155"/>
      <c r="B354" s="155"/>
      <c r="K354" s="155"/>
      <c r="L354" s="155"/>
      <c r="M354" s="155"/>
    </row>
    <row r="355" spans="1:13" x14ac:dyDescent="0.15">
      <c r="A355" s="155"/>
      <c r="B355" s="155"/>
      <c r="K355" s="155"/>
      <c r="L355" s="155"/>
      <c r="M355" s="155"/>
    </row>
    <row r="356" spans="1:13" x14ac:dyDescent="0.15">
      <c r="A356" s="155"/>
      <c r="B356" s="155"/>
      <c r="K356" s="155"/>
      <c r="L356" s="155"/>
      <c r="M356" s="155"/>
    </row>
    <row r="357" spans="1:13" x14ac:dyDescent="0.15">
      <c r="A357" s="155"/>
      <c r="B357" s="155"/>
      <c r="K357" s="155"/>
      <c r="L357" s="155"/>
      <c r="M357" s="155"/>
    </row>
    <row r="358" spans="1:13" x14ac:dyDescent="0.15">
      <c r="A358" s="155"/>
      <c r="B358" s="155"/>
      <c r="K358" s="155"/>
      <c r="L358" s="155"/>
      <c r="M358" s="155"/>
    </row>
    <row r="359" spans="1:13" x14ac:dyDescent="0.15">
      <c r="A359" s="155"/>
      <c r="B359" s="155"/>
      <c r="K359" s="155"/>
      <c r="L359" s="155"/>
      <c r="M359" s="155"/>
    </row>
    <row r="360" spans="1:13" x14ac:dyDescent="0.15">
      <c r="A360" s="155"/>
      <c r="B360" s="155"/>
      <c r="K360" s="155"/>
      <c r="L360" s="155"/>
      <c r="M360" s="155"/>
    </row>
    <row r="361" spans="1:13" x14ac:dyDescent="0.15">
      <c r="A361" s="155"/>
      <c r="B361" s="155"/>
      <c r="K361" s="155"/>
      <c r="L361" s="155"/>
      <c r="M361" s="155"/>
    </row>
    <row r="362" spans="1:13" x14ac:dyDescent="0.15">
      <c r="A362" s="155"/>
      <c r="B362" s="155"/>
      <c r="K362" s="155"/>
      <c r="L362" s="155"/>
      <c r="M362" s="155"/>
    </row>
    <row r="363" spans="1:13" x14ac:dyDescent="0.15">
      <c r="A363" s="155"/>
      <c r="B363" s="155"/>
      <c r="K363" s="155"/>
      <c r="L363" s="155"/>
      <c r="M363" s="155"/>
    </row>
    <row r="364" spans="1:13" x14ac:dyDescent="0.15">
      <c r="A364" s="155"/>
      <c r="B364" s="155"/>
      <c r="K364" s="155"/>
      <c r="L364" s="155"/>
      <c r="M364" s="155"/>
    </row>
    <row r="365" spans="1:13" x14ac:dyDescent="0.15">
      <c r="A365" s="155"/>
      <c r="B365" s="155"/>
      <c r="K365" s="155"/>
      <c r="L365" s="155"/>
      <c r="M365" s="155"/>
    </row>
    <row r="366" spans="1:13" x14ac:dyDescent="0.15">
      <c r="A366" s="155"/>
      <c r="B366" s="155"/>
      <c r="K366" s="155"/>
      <c r="L366" s="155"/>
      <c r="M366" s="155"/>
    </row>
    <row r="367" spans="1:13" x14ac:dyDescent="0.15">
      <c r="A367" s="155"/>
      <c r="B367" s="155"/>
      <c r="K367" s="155"/>
      <c r="L367" s="155"/>
      <c r="M367" s="155"/>
    </row>
    <row r="368" spans="1:13" x14ac:dyDescent="0.15">
      <c r="A368" s="155"/>
      <c r="B368" s="155"/>
      <c r="K368" s="155"/>
      <c r="L368" s="155"/>
      <c r="M368" s="155"/>
    </row>
    <row r="369" spans="1:13" x14ac:dyDescent="0.15">
      <c r="A369" s="155"/>
      <c r="B369" s="155"/>
      <c r="K369" s="155"/>
      <c r="L369" s="155"/>
      <c r="M369" s="155"/>
    </row>
    <row r="370" spans="1:13" x14ac:dyDescent="0.15">
      <c r="A370" s="155"/>
      <c r="B370" s="155"/>
      <c r="K370" s="155"/>
      <c r="L370" s="155"/>
      <c r="M370" s="155"/>
    </row>
    <row r="371" spans="1:13" x14ac:dyDescent="0.15">
      <c r="A371" s="155"/>
      <c r="B371" s="155"/>
      <c r="K371" s="155"/>
      <c r="L371" s="155"/>
      <c r="M371" s="155"/>
    </row>
    <row r="372" spans="1:13" x14ac:dyDescent="0.15">
      <c r="A372" s="155"/>
      <c r="B372" s="155"/>
      <c r="K372" s="155"/>
      <c r="L372" s="155"/>
      <c r="M372" s="155"/>
    </row>
    <row r="373" spans="1:13" x14ac:dyDescent="0.15">
      <c r="A373" s="155"/>
      <c r="B373" s="155"/>
      <c r="K373" s="155"/>
      <c r="L373" s="155"/>
      <c r="M373" s="155"/>
    </row>
    <row r="374" spans="1:13" x14ac:dyDescent="0.15">
      <c r="A374" s="155"/>
      <c r="B374" s="155"/>
      <c r="K374" s="155"/>
      <c r="L374" s="155"/>
      <c r="M374" s="155"/>
    </row>
    <row r="375" spans="1:13" x14ac:dyDescent="0.15">
      <c r="A375" s="155"/>
      <c r="B375" s="155"/>
      <c r="K375" s="155"/>
      <c r="L375" s="155"/>
      <c r="M375" s="155"/>
    </row>
    <row r="376" spans="1:13" x14ac:dyDescent="0.15">
      <c r="A376" s="155"/>
      <c r="B376" s="155"/>
      <c r="K376" s="155"/>
      <c r="L376" s="155"/>
      <c r="M376" s="155"/>
    </row>
    <row r="377" spans="1:13" x14ac:dyDescent="0.15">
      <c r="A377" s="155"/>
      <c r="B377" s="155"/>
      <c r="K377" s="155"/>
      <c r="L377" s="155"/>
      <c r="M377" s="155"/>
    </row>
    <row r="378" spans="1:13" x14ac:dyDescent="0.15">
      <c r="A378" s="155"/>
      <c r="B378" s="155"/>
      <c r="K378" s="155"/>
      <c r="L378" s="155"/>
      <c r="M378" s="155"/>
    </row>
    <row r="379" spans="1:13" x14ac:dyDescent="0.15">
      <c r="A379" s="155"/>
      <c r="B379" s="155"/>
      <c r="K379" s="155"/>
      <c r="L379" s="155"/>
      <c r="M379" s="155"/>
    </row>
    <row r="380" spans="1:13" x14ac:dyDescent="0.15">
      <c r="A380" s="155"/>
      <c r="B380" s="155"/>
      <c r="K380" s="155"/>
      <c r="L380" s="155"/>
      <c r="M380" s="155"/>
    </row>
    <row r="381" spans="1:13" x14ac:dyDescent="0.15">
      <c r="A381" s="155"/>
      <c r="B381" s="155"/>
      <c r="K381" s="155"/>
      <c r="L381" s="155"/>
      <c r="M381" s="155"/>
    </row>
    <row r="382" spans="1:13" x14ac:dyDescent="0.15">
      <c r="A382" s="155"/>
      <c r="B382" s="155"/>
      <c r="K382" s="155"/>
      <c r="L382" s="155"/>
      <c r="M382" s="155"/>
    </row>
    <row r="383" spans="1:13" x14ac:dyDescent="0.15">
      <c r="A383" s="155"/>
      <c r="B383" s="155"/>
      <c r="K383" s="155"/>
      <c r="L383" s="155"/>
      <c r="M383" s="155"/>
    </row>
    <row r="384" spans="1:13" x14ac:dyDescent="0.15">
      <c r="A384" s="155"/>
      <c r="B384" s="155"/>
      <c r="K384" s="155"/>
      <c r="L384" s="155"/>
      <c r="M384" s="155"/>
    </row>
    <row r="385" spans="1:13" x14ac:dyDescent="0.15">
      <c r="A385" s="155"/>
      <c r="B385" s="155"/>
      <c r="K385" s="155"/>
      <c r="L385" s="155"/>
      <c r="M385" s="155"/>
    </row>
    <row r="386" spans="1:13" x14ac:dyDescent="0.15">
      <c r="A386" s="155"/>
      <c r="B386" s="155"/>
      <c r="K386" s="155"/>
      <c r="L386" s="155"/>
      <c r="M386" s="155"/>
    </row>
    <row r="387" spans="1:13" x14ac:dyDescent="0.15">
      <c r="A387" s="155"/>
      <c r="B387" s="155"/>
      <c r="K387" s="155"/>
      <c r="L387" s="155"/>
      <c r="M387" s="155"/>
    </row>
    <row r="388" spans="1:13" x14ac:dyDescent="0.15">
      <c r="A388" s="155"/>
      <c r="B388" s="155"/>
      <c r="K388" s="155"/>
      <c r="L388" s="155"/>
      <c r="M388" s="155"/>
    </row>
    <row r="389" spans="1:13" x14ac:dyDescent="0.15">
      <c r="A389" s="155"/>
      <c r="B389" s="155"/>
      <c r="K389" s="155"/>
      <c r="L389" s="155"/>
      <c r="M389" s="155"/>
    </row>
    <row r="390" spans="1:13" x14ac:dyDescent="0.15">
      <c r="A390" s="155"/>
      <c r="B390" s="155"/>
      <c r="K390" s="155"/>
      <c r="L390" s="155"/>
      <c r="M390" s="155"/>
    </row>
    <row r="391" spans="1:13" x14ac:dyDescent="0.15">
      <c r="A391" s="155"/>
      <c r="B391" s="155"/>
      <c r="K391" s="155"/>
      <c r="L391" s="155"/>
      <c r="M391" s="155"/>
    </row>
    <row r="392" spans="1:13" x14ac:dyDescent="0.15">
      <c r="A392" s="155"/>
      <c r="B392" s="155"/>
      <c r="K392" s="155"/>
      <c r="L392" s="155"/>
      <c r="M392" s="155"/>
    </row>
    <row r="393" spans="1:13" x14ac:dyDescent="0.15">
      <c r="A393" s="155"/>
      <c r="B393" s="155"/>
      <c r="K393" s="155"/>
      <c r="L393" s="155"/>
      <c r="M393" s="155"/>
    </row>
    <row r="394" spans="1:13" x14ac:dyDescent="0.15">
      <c r="A394" s="155"/>
      <c r="B394" s="155"/>
      <c r="K394" s="155"/>
      <c r="L394" s="155"/>
      <c r="M394" s="155"/>
    </row>
    <row r="395" spans="1:13" x14ac:dyDescent="0.15">
      <c r="A395" s="155"/>
      <c r="B395" s="155"/>
      <c r="K395" s="155"/>
      <c r="L395" s="155"/>
      <c r="M395" s="155"/>
    </row>
    <row r="396" spans="1:13" x14ac:dyDescent="0.15">
      <c r="A396" s="155"/>
      <c r="B396" s="155"/>
      <c r="K396" s="155"/>
      <c r="L396" s="155"/>
      <c r="M396" s="155"/>
    </row>
    <row r="397" spans="1:13" x14ac:dyDescent="0.15">
      <c r="A397" s="155"/>
      <c r="B397" s="155"/>
      <c r="K397" s="155"/>
      <c r="L397" s="155"/>
      <c r="M397" s="155"/>
    </row>
    <row r="398" spans="1:13" x14ac:dyDescent="0.15">
      <c r="A398" s="155"/>
      <c r="B398" s="155"/>
      <c r="K398" s="155"/>
      <c r="L398" s="155"/>
      <c r="M398" s="155"/>
    </row>
    <row r="399" spans="1:13" x14ac:dyDescent="0.15">
      <c r="A399" s="155"/>
      <c r="B399" s="155"/>
      <c r="K399" s="155"/>
      <c r="L399" s="155"/>
      <c r="M399" s="155"/>
    </row>
    <row r="400" spans="1:13" x14ac:dyDescent="0.15">
      <c r="A400" s="155"/>
      <c r="B400" s="155"/>
      <c r="K400" s="155"/>
      <c r="L400" s="155"/>
      <c r="M400" s="155"/>
    </row>
    <row r="401" spans="1:13" x14ac:dyDescent="0.15">
      <c r="A401" s="155"/>
      <c r="B401" s="155"/>
      <c r="K401" s="155"/>
      <c r="L401" s="155"/>
      <c r="M401" s="155"/>
    </row>
    <row r="402" spans="1:13" x14ac:dyDescent="0.15">
      <c r="A402" s="155"/>
      <c r="B402" s="155"/>
      <c r="K402" s="155"/>
      <c r="L402" s="155"/>
      <c r="M402" s="155"/>
    </row>
    <row r="403" spans="1:13" x14ac:dyDescent="0.15">
      <c r="A403" s="155"/>
      <c r="B403" s="155"/>
      <c r="K403" s="155"/>
      <c r="L403" s="155"/>
      <c r="M403" s="155"/>
    </row>
    <row r="404" spans="1:13" x14ac:dyDescent="0.15">
      <c r="A404" s="155"/>
      <c r="B404" s="155"/>
      <c r="K404" s="155"/>
      <c r="L404" s="155"/>
      <c r="M404" s="155"/>
    </row>
    <row r="405" spans="1:13" x14ac:dyDescent="0.15">
      <c r="A405" s="155"/>
      <c r="B405" s="155"/>
      <c r="K405" s="155"/>
      <c r="L405" s="155"/>
      <c r="M405" s="155"/>
    </row>
    <row r="406" spans="1:13" x14ac:dyDescent="0.15">
      <c r="A406" s="155"/>
      <c r="B406" s="155"/>
      <c r="K406" s="155"/>
      <c r="L406" s="155"/>
      <c r="M406" s="155"/>
    </row>
    <row r="407" spans="1:13" x14ac:dyDescent="0.15">
      <c r="A407" s="155"/>
      <c r="B407" s="155"/>
      <c r="K407" s="155"/>
      <c r="L407" s="155"/>
      <c r="M407" s="155"/>
    </row>
    <row r="408" spans="1:13" x14ac:dyDescent="0.15">
      <c r="A408" s="155"/>
      <c r="B408" s="155"/>
      <c r="K408" s="155"/>
      <c r="L408" s="155"/>
      <c r="M408" s="155"/>
    </row>
    <row r="409" spans="1:13" x14ac:dyDescent="0.15">
      <c r="A409" s="155"/>
      <c r="B409" s="155"/>
      <c r="K409" s="155"/>
      <c r="L409" s="155"/>
      <c r="M409" s="155"/>
    </row>
    <row r="410" spans="1:13" x14ac:dyDescent="0.15">
      <c r="A410" s="155"/>
      <c r="B410" s="155"/>
      <c r="K410" s="155"/>
      <c r="L410" s="155"/>
      <c r="M410" s="155"/>
    </row>
    <row r="411" spans="1:13" x14ac:dyDescent="0.15">
      <c r="A411" s="155"/>
      <c r="B411" s="155"/>
      <c r="K411" s="155"/>
      <c r="L411" s="155"/>
      <c r="M411" s="155"/>
    </row>
    <row r="412" spans="1:13" x14ac:dyDescent="0.15">
      <c r="A412" s="155"/>
      <c r="B412" s="155"/>
      <c r="K412" s="155"/>
      <c r="L412" s="155"/>
      <c r="M412" s="155"/>
    </row>
    <row r="413" spans="1:13" x14ac:dyDescent="0.15">
      <c r="A413" s="155"/>
      <c r="B413" s="155"/>
      <c r="K413" s="155"/>
      <c r="L413" s="155"/>
      <c r="M413" s="155"/>
    </row>
    <row r="414" spans="1:13" x14ac:dyDescent="0.15">
      <c r="A414" s="155"/>
      <c r="B414" s="155"/>
      <c r="K414" s="155"/>
      <c r="L414" s="155"/>
      <c r="M414" s="155"/>
    </row>
    <row r="415" spans="1:13" x14ac:dyDescent="0.15">
      <c r="A415" s="155"/>
      <c r="B415" s="155"/>
      <c r="K415" s="155"/>
      <c r="L415" s="155"/>
      <c r="M415" s="155"/>
    </row>
    <row r="416" spans="1:13" x14ac:dyDescent="0.15">
      <c r="A416" s="155"/>
      <c r="B416" s="155"/>
      <c r="K416" s="155"/>
      <c r="L416" s="155"/>
      <c r="M416" s="155"/>
    </row>
    <row r="417" spans="1:13" x14ac:dyDescent="0.15">
      <c r="A417" s="155"/>
      <c r="B417" s="155"/>
      <c r="K417" s="155"/>
      <c r="L417" s="155"/>
      <c r="M417" s="155"/>
    </row>
    <row r="418" spans="1:13" x14ac:dyDescent="0.15">
      <c r="A418" s="155"/>
      <c r="B418" s="155"/>
      <c r="K418" s="155"/>
      <c r="L418" s="155"/>
      <c r="M418" s="155"/>
    </row>
    <row r="419" spans="1:13" x14ac:dyDescent="0.15">
      <c r="A419" s="155"/>
      <c r="B419" s="155"/>
      <c r="K419" s="155"/>
      <c r="L419" s="155"/>
      <c r="M419" s="155"/>
    </row>
    <row r="420" spans="1:13" x14ac:dyDescent="0.15">
      <c r="A420" s="155"/>
      <c r="B420" s="155"/>
      <c r="K420" s="155"/>
      <c r="L420" s="155"/>
      <c r="M420" s="155"/>
    </row>
    <row r="421" spans="1:13" x14ac:dyDescent="0.15">
      <c r="A421" s="155"/>
      <c r="B421" s="155"/>
      <c r="K421" s="155"/>
      <c r="L421" s="155"/>
      <c r="M421" s="155"/>
    </row>
    <row r="422" spans="1:13" x14ac:dyDescent="0.15">
      <c r="A422" s="155"/>
      <c r="B422" s="155"/>
      <c r="K422" s="155"/>
      <c r="L422" s="155"/>
      <c r="M422" s="155"/>
    </row>
    <row r="423" spans="1:13" x14ac:dyDescent="0.15">
      <c r="A423" s="155"/>
      <c r="B423" s="155"/>
      <c r="K423" s="155"/>
      <c r="L423" s="155"/>
      <c r="M423" s="155"/>
    </row>
    <row r="424" spans="1:13" x14ac:dyDescent="0.15">
      <c r="A424" s="155"/>
      <c r="B424" s="155"/>
      <c r="K424" s="155"/>
      <c r="L424" s="155"/>
      <c r="M424" s="155"/>
    </row>
    <row r="425" spans="1:13" x14ac:dyDescent="0.15">
      <c r="A425" s="155"/>
      <c r="B425" s="155"/>
      <c r="K425" s="155"/>
      <c r="L425" s="155"/>
      <c r="M425" s="155"/>
    </row>
    <row r="426" spans="1:13" x14ac:dyDescent="0.15">
      <c r="A426" s="155"/>
      <c r="B426" s="155"/>
      <c r="K426" s="155"/>
      <c r="L426" s="155"/>
      <c r="M426" s="155"/>
    </row>
    <row r="427" spans="1:13" x14ac:dyDescent="0.15">
      <c r="A427" s="155"/>
      <c r="B427" s="155"/>
      <c r="K427" s="155"/>
      <c r="L427" s="155"/>
      <c r="M427" s="155"/>
    </row>
    <row r="428" spans="1:13" x14ac:dyDescent="0.15">
      <c r="A428" s="155"/>
      <c r="B428" s="155"/>
      <c r="K428" s="155"/>
      <c r="L428" s="155"/>
      <c r="M428" s="155"/>
    </row>
    <row r="429" spans="1:13" x14ac:dyDescent="0.15">
      <c r="A429" s="155"/>
      <c r="B429" s="155"/>
      <c r="K429" s="155"/>
      <c r="L429" s="155"/>
      <c r="M429" s="155"/>
    </row>
    <row r="430" spans="1:13" x14ac:dyDescent="0.15">
      <c r="A430" s="155"/>
      <c r="B430" s="155"/>
      <c r="K430" s="155"/>
      <c r="L430" s="155"/>
      <c r="M430" s="155"/>
    </row>
    <row r="431" spans="1:13" x14ac:dyDescent="0.15">
      <c r="A431" s="155"/>
      <c r="B431" s="155"/>
      <c r="K431" s="155"/>
      <c r="L431" s="155"/>
      <c r="M431" s="155"/>
    </row>
    <row r="432" spans="1:13" x14ac:dyDescent="0.15">
      <c r="A432" s="155"/>
      <c r="B432" s="155"/>
      <c r="K432" s="155"/>
      <c r="L432" s="155"/>
      <c r="M432" s="155"/>
    </row>
    <row r="433" spans="1:13" x14ac:dyDescent="0.15">
      <c r="A433" s="155"/>
      <c r="B433" s="155"/>
      <c r="K433" s="155"/>
      <c r="L433" s="155"/>
      <c r="M433" s="155"/>
    </row>
    <row r="434" spans="1:13" x14ac:dyDescent="0.15">
      <c r="A434" s="155"/>
      <c r="B434" s="155"/>
      <c r="K434" s="155"/>
      <c r="L434" s="155"/>
      <c r="M434" s="155"/>
    </row>
    <row r="435" spans="1:13" x14ac:dyDescent="0.15">
      <c r="A435" s="155"/>
      <c r="B435" s="155"/>
      <c r="K435" s="155"/>
      <c r="L435" s="155"/>
      <c r="M435" s="155"/>
    </row>
    <row r="436" spans="1:13" x14ac:dyDescent="0.15">
      <c r="A436" s="155"/>
      <c r="B436" s="155"/>
      <c r="K436" s="155"/>
      <c r="L436" s="155"/>
      <c r="M436" s="155"/>
    </row>
    <row r="437" spans="1:13" x14ac:dyDescent="0.15">
      <c r="A437" s="155"/>
      <c r="B437" s="155"/>
      <c r="K437" s="155"/>
      <c r="L437" s="155"/>
      <c r="M437" s="155"/>
    </row>
    <row r="438" spans="1:13" x14ac:dyDescent="0.15">
      <c r="A438" s="155"/>
      <c r="B438" s="155"/>
      <c r="K438" s="155"/>
      <c r="L438" s="155"/>
      <c r="M438" s="155"/>
    </row>
    <row r="439" spans="1:13" x14ac:dyDescent="0.15">
      <c r="A439" s="155"/>
      <c r="B439" s="155"/>
      <c r="K439" s="155"/>
      <c r="L439" s="155"/>
      <c r="M439" s="155"/>
    </row>
    <row r="440" spans="1:13" x14ac:dyDescent="0.15">
      <c r="A440" s="155"/>
      <c r="B440" s="155"/>
      <c r="K440" s="155"/>
      <c r="L440" s="155"/>
      <c r="M440" s="155"/>
    </row>
    <row r="441" spans="1:13" x14ac:dyDescent="0.15">
      <c r="A441" s="155"/>
      <c r="B441" s="155"/>
      <c r="K441" s="155"/>
      <c r="L441" s="155"/>
      <c r="M441" s="155"/>
    </row>
    <row r="442" spans="1:13" x14ac:dyDescent="0.15">
      <c r="A442" s="155"/>
      <c r="B442" s="155"/>
      <c r="K442" s="155"/>
      <c r="L442" s="155"/>
      <c r="M442" s="155"/>
    </row>
    <row r="443" spans="1:13" x14ac:dyDescent="0.15">
      <c r="A443" s="155"/>
      <c r="B443" s="155"/>
      <c r="K443" s="155"/>
      <c r="L443" s="155"/>
      <c r="M443" s="155"/>
    </row>
    <row r="444" spans="1:13" x14ac:dyDescent="0.15">
      <c r="A444" s="155"/>
      <c r="B444" s="155"/>
      <c r="K444" s="155"/>
      <c r="L444" s="155"/>
      <c r="M444" s="155"/>
    </row>
    <row r="445" spans="1:13" x14ac:dyDescent="0.15">
      <c r="A445" s="155"/>
      <c r="B445" s="155"/>
      <c r="K445" s="155"/>
      <c r="L445" s="155"/>
      <c r="M445" s="155"/>
    </row>
    <row r="446" spans="1:13" x14ac:dyDescent="0.15">
      <c r="A446" s="155"/>
      <c r="B446" s="155"/>
      <c r="K446" s="155"/>
      <c r="L446" s="155"/>
      <c r="M446" s="155"/>
    </row>
    <row r="447" spans="1:13" x14ac:dyDescent="0.15">
      <c r="A447" s="155"/>
      <c r="B447" s="155"/>
      <c r="K447" s="155"/>
      <c r="L447" s="155"/>
      <c r="M447" s="155"/>
    </row>
    <row r="448" spans="1:13" x14ac:dyDescent="0.15">
      <c r="A448" s="155"/>
      <c r="B448" s="155"/>
      <c r="K448" s="155"/>
      <c r="L448" s="155"/>
      <c r="M448" s="155"/>
    </row>
    <row r="449" spans="1:13" x14ac:dyDescent="0.15">
      <c r="A449" s="155"/>
      <c r="B449" s="155"/>
      <c r="K449" s="155"/>
      <c r="L449" s="155"/>
      <c r="M449" s="155"/>
    </row>
    <row r="450" spans="1:13" x14ac:dyDescent="0.15">
      <c r="A450" s="155"/>
      <c r="B450" s="155"/>
      <c r="K450" s="155"/>
      <c r="L450" s="155"/>
      <c r="M450" s="155"/>
    </row>
    <row r="451" spans="1:13" x14ac:dyDescent="0.15">
      <c r="A451" s="155"/>
      <c r="B451" s="155"/>
      <c r="K451" s="155"/>
      <c r="L451" s="155"/>
      <c r="M451" s="155"/>
    </row>
    <row r="452" spans="1:13" x14ac:dyDescent="0.15">
      <c r="A452" s="155"/>
      <c r="B452" s="155"/>
      <c r="K452" s="155"/>
      <c r="L452" s="155"/>
      <c r="M452" s="155"/>
    </row>
    <row r="453" spans="1:13" x14ac:dyDescent="0.15">
      <c r="A453" s="155"/>
      <c r="B453" s="155"/>
      <c r="K453" s="155"/>
      <c r="L453" s="155"/>
      <c r="M453" s="155"/>
    </row>
    <row r="454" spans="1:13" x14ac:dyDescent="0.15">
      <c r="A454" s="155"/>
      <c r="B454" s="155"/>
      <c r="K454" s="155"/>
      <c r="L454" s="155"/>
      <c r="M454" s="155"/>
    </row>
    <row r="455" spans="1:13" x14ac:dyDescent="0.15">
      <c r="A455" s="155"/>
      <c r="B455" s="155"/>
      <c r="K455" s="155"/>
      <c r="L455" s="155"/>
      <c r="M455" s="155"/>
    </row>
    <row r="456" spans="1:13" x14ac:dyDescent="0.15">
      <c r="A456" s="155"/>
      <c r="B456" s="155"/>
      <c r="K456" s="155"/>
      <c r="L456" s="155"/>
      <c r="M456" s="155"/>
    </row>
    <row r="457" spans="1:13" x14ac:dyDescent="0.15">
      <c r="A457" s="155"/>
      <c r="B457" s="155"/>
      <c r="K457" s="155"/>
      <c r="L457" s="155"/>
      <c r="M457" s="155"/>
    </row>
    <row r="458" spans="1:13" x14ac:dyDescent="0.15">
      <c r="A458" s="155"/>
      <c r="B458" s="155"/>
      <c r="K458" s="155"/>
      <c r="L458" s="155"/>
      <c r="M458" s="155"/>
    </row>
    <row r="459" spans="1:13" x14ac:dyDescent="0.15">
      <c r="A459" s="155"/>
      <c r="B459" s="155"/>
      <c r="K459" s="155"/>
      <c r="L459" s="155"/>
      <c r="M459" s="155"/>
    </row>
    <row r="460" spans="1:13" x14ac:dyDescent="0.15">
      <c r="A460" s="155"/>
      <c r="B460" s="155"/>
      <c r="K460" s="155"/>
      <c r="L460" s="155"/>
      <c r="M460" s="155"/>
    </row>
    <row r="461" spans="1:13" x14ac:dyDescent="0.15">
      <c r="A461" s="155"/>
      <c r="B461" s="155"/>
      <c r="K461" s="155"/>
      <c r="L461" s="155"/>
      <c r="M461" s="155"/>
    </row>
    <row r="462" spans="1:13" x14ac:dyDescent="0.15">
      <c r="A462" s="155"/>
      <c r="B462" s="155"/>
      <c r="K462" s="155"/>
      <c r="L462" s="155"/>
      <c r="M462" s="155"/>
    </row>
    <row r="463" spans="1:13" x14ac:dyDescent="0.15">
      <c r="A463" s="155"/>
      <c r="B463" s="155"/>
      <c r="K463" s="155"/>
      <c r="L463" s="155"/>
      <c r="M463" s="155"/>
    </row>
    <row r="464" spans="1:13" x14ac:dyDescent="0.15">
      <c r="A464" s="155"/>
      <c r="B464" s="155"/>
      <c r="K464" s="155"/>
      <c r="L464" s="155"/>
      <c r="M464" s="155"/>
    </row>
    <row r="465" spans="1:13" x14ac:dyDescent="0.15">
      <c r="A465" s="155"/>
      <c r="B465" s="155"/>
      <c r="K465" s="155"/>
      <c r="L465" s="155"/>
      <c r="M465" s="155"/>
    </row>
    <row r="466" spans="1:13" x14ac:dyDescent="0.15">
      <c r="A466" s="155"/>
      <c r="B466" s="155"/>
      <c r="K466" s="155"/>
      <c r="L466" s="155"/>
      <c r="M466" s="155"/>
    </row>
    <row r="467" spans="1:13" x14ac:dyDescent="0.15">
      <c r="A467" s="155"/>
      <c r="B467" s="155"/>
      <c r="K467" s="155"/>
      <c r="L467" s="155"/>
      <c r="M467" s="155"/>
    </row>
    <row r="468" spans="1:13" x14ac:dyDescent="0.15">
      <c r="A468" s="155"/>
      <c r="B468" s="155"/>
      <c r="K468" s="155"/>
      <c r="L468" s="155"/>
      <c r="M468" s="155"/>
    </row>
    <row r="469" spans="1:13" x14ac:dyDescent="0.15">
      <c r="A469" s="155"/>
      <c r="B469" s="155"/>
      <c r="K469" s="155"/>
      <c r="L469" s="155"/>
      <c r="M469" s="155"/>
    </row>
    <row r="470" spans="1:13" x14ac:dyDescent="0.15">
      <c r="A470" s="155"/>
      <c r="B470" s="155"/>
      <c r="K470" s="155"/>
      <c r="L470" s="155"/>
      <c r="M470" s="155"/>
    </row>
    <row r="471" spans="1:13" x14ac:dyDescent="0.15">
      <c r="A471" s="155"/>
      <c r="B471" s="155"/>
      <c r="K471" s="155"/>
      <c r="L471" s="155"/>
      <c r="M471" s="155"/>
    </row>
    <row r="472" spans="1:13" x14ac:dyDescent="0.15">
      <c r="A472" s="155"/>
      <c r="B472" s="155"/>
      <c r="K472" s="155"/>
      <c r="L472" s="155"/>
      <c r="M472" s="155"/>
    </row>
    <row r="473" spans="1:13" x14ac:dyDescent="0.15">
      <c r="A473" s="155"/>
      <c r="B473" s="155"/>
      <c r="K473" s="155"/>
      <c r="L473" s="155"/>
      <c r="M473" s="155"/>
    </row>
    <row r="474" spans="1:13" x14ac:dyDescent="0.15">
      <c r="A474" s="155"/>
      <c r="B474" s="155"/>
      <c r="K474" s="155"/>
      <c r="L474" s="155"/>
      <c r="M474" s="155"/>
    </row>
    <row r="475" spans="1:13" x14ac:dyDescent="0.15">
      <c r="A475" s="155"/>
      <c r="B475" s="155"/>
      <c r="K475" s="155"/>
      <c r="L475" s="155"/>
      <c r="M475" s="155"/>
    </row>
    <row r="476" spans="1:13" x14ac:dyDescent="0.15">
      <c r="A476" s="155"/>
      <c r="B476" s="155"/>
      <c r="K476" s="155"/>
      <c r="L476" s="155"/>
      <c r="M476" s="155"/>
    </row>
    <row r="477" spans="1:13" x14ac:dyDescent="0.15">
      <c r="A477" s="155"/>
      <c r="B477" s="155"/>
      <c r="K477" s="155"/>
      <c r="L477" s="155"/>
      <c r="M477" s="155"/>
    </row>
    <row r="478" spans="1:13" x14ac:dyDescent="0.15">
      <c r="A478" s="155"/>
      <c r="B478" s="155"/>
      <c r="K478" s="155"/>
      <c r="L478" s="155"/>
      <c r="M478" s="155"/>
    </row>
    <row r="479" spans="1:13" x14ac:dyDescent="0.15">
      <c r="A479" s="155"/>
      <c r="B479" s="155"/>
      <c r="K479" s="155"/>
      <c r="L479" s="155"/>
      <c r="M479" s="155"/>
    </row>
    <row r="480" spans="1:13" x14ac:dyDescent="0.15">
      <c r="A480" s="155"/>
      <c r="B480" s="155"/>
      <c r="K480" s="155"/>
      <c r="L480" s="155"/>
      <c r="M480" s="155"/>
    </row>
    <row r="481" spans="1:13" x14ac:dyDescent="0.15">
      <c r="A481" s="155"/>
      <c r="B481" s="155"/>
      <c r="K481" s="155"/>
      <c r="L481" s="155"/>
      <c r="M481" s="155"/>
    </row>
    <row r="482" spans="1:13" x14ac:dyDescent="0.15">
      <c r="A482" s="155"/>
      <c r="B482" s="155"/>
      <c r="K482" s="155"/>
      <c r="L482" s="155"/>
      <c r="M482" s="155"/>
    </row>
    <row r="483" spans="1:13" x14ac:dyDescent="0.15">
      <c r="A483" s="155"/>
      <c r="B483" s="155"/>
      <c r="K483" s="155"/>
      <c r="L483" s="155"/>
      <c r="M483" s="155"/>
    </row>
    <row r="484" spans="1:13" x14ac:dyDescent="0.15">
      <c r="A484" s="155"/>
      <c r="B484" s="155"/>
      <c r="K484" s="155"/>
      <c r="L484" s="155"/>
      <c r="M484" s="155"/>
    </row>
    <row r="485" spans="1:13" x14ac:dyDescent="0.15">
      <c r="A485" s="155"/>
      <c r="B485" s="155"/>
      <c r="K485" s="155"/>
      <c r="L485" s="155"/>
      <c r="M485" s="155"/>
    </row>
    <row r="486" spans="1:13" x14ac:dyDescent="0.15">
      <c r="A486" s="155"/>
      <c r="B486" s="155"/>
      <c r="K486" s="155"/>
      <c r="L486" s="155"/>
      <c r="M486" s="155"/>
    </row>
    <row r="487" spans="1:13" x14ac:dyDescent="0.15">
      <c r="A487" s="155"/>
      <c r="B487" s="155"/>
      <c r="K487" s="155"/>
      <c r="L487" s="155"/>
      <c r="M487" s="155"/>
    </row>
    <row r="488" spans="1:13" x14ac:dyDescent="0.15">
      <c r="A488" s="155"/>
      <c r="B488" s="155"/>
      <c r="K488" s="155"/>
      <c r="L488" s="155"/>
      <c r="M488" s="155"/>
    </row>
    <row r="489" spans="1:13" x14ac:dyDescent="0.15">
      <c r="A489" s="155"/>
      <c r="B489" s="155"/>
      <c r="K489" s="155"/>
      <c r="L489" s="155"/>
      <c r="M489" s="155"/>
    </row>
    <row r="490" spans="1:13" x14ac:dyDescent="0.15">
      <c r="A490" s="155"/>
      <c r="B490" s="155"/>
      <c r="K490" s="155"/>
      <c r="L490" s="155"/>
      <c r="M490" s="155"/>
    </row>
    <row r="491" spans="1:13" x14ac:dyDescent="0.15">
      <c r="A491" s="155"/>
      <c r="B491" s="155"/>
      <c r="K491" s="155"/>
      <c r="L491" s="155"/>
      <c r="M491" s="155"/>
    </row>
    <row r="492" spans="1:13" x14ac:dyDescent="0.15">
      <c r="A492" s="155"/>
      <c r="B492" s="155"/>
      <c r="K492" s="155"/>
      <c r="L492" s="155"/>
      <c r="M492" s="155"/>
    </row>
    <row r="493" spans="1:13" x14ac:dyDescent="0.15">
      <c r="A493" s="155"/>
      <c r="B493" s="155"/>
      <c r="K493" s="155"/>
      <c r="L493" s="155"/>
      <c r="M493" s="155"/>
    </row>
    <row r="494" spans="1:13" x14ac:dyDescent="0.15">
      <c r="A494" s="155"/>
      <c r="B494" s="155"/>
      <c r="K494" s="155"/>
      <c r="L494" s="155"/>
      <c r="M494" s="155"/>
    </row>
    <row r="495" spans="1:13" x14ac:dyDescent="0.15">
      <c r="A495" s="155"/>
      <c r="B495" s="155"/>
      <c r="K495" s="155"/>
      <c r="L495" s="155"/>
      <c r="M495" s="155"/>
    </row>
    <row r="496" spans="1:13" x14ac:dyDescent="0.15">
      <c r="A496" s="155"/>
      <c r="B496" s="155"/>
      <c r="K496" s="155"/>
      <c r="L496" s="155"/>
      <c r="M496" s="155"/>
    </row>
    <row r="497" spans="1:13" x14ac:dyDescent="0.15">
      <c r="A497" s="155"/>
      <c r="B497" s="155"/>
      <c r="K497" s="155"/>
      <c r="L497" s="155"/>
      <c r="M497" s="155"/>
    </row>
    <row r="498" spans="1:13" x14ac:dyDescent="0.15">
      <c r="A498" s="155"/>
      <c r="B498" s="155"/>
      <c r="K498" s="155"/>
      <c r="L498" s="155"/>
      <c r="M498" s="155"/>
    </row>
    <row r="499" spans="1:13" x14ac:dyDescent="0.15">
      <c r="A499" s="155"/>
      <c r="B499" s="155"/>
      <c r="K499" s="155"/>
      <c r="L499" s="155"/>
      <c r="M499" s="155"/>
    </row>
    <row r="500" spans="1:13" x14ac:dyDescent="0.15">
      <c r="A500" s="155"/>
      <c r="B500" s="155"/>
      <c r="K500" s="155"/>
      <c r="L500" s="155"/>
      <c r="M500" s="155"/>
    </row>
    <row r="501" spans="1:13" x14ac:dyDescent="0.15">
      <c r="A501" s="155"/>
      <c r="B501" s="155"/>
      <c r="K501" s="155"/>
      <c r="L501" s="155"/>
      <c r="M501" s="155"/>
    </row>
    <row r="502" spans="1:13" x14ac:dyDescent="0.15">
      <c r="A502" s="155"/>
      <c r="B502" s="155"/>
      <c r="K502" s="155"/>
      <c r="L502" s="155"/>
      <c r="M502" s="155"/>
    </row>
    <row r="503" spans="1:13" x14ac:dyDescent="0.15">
      <c r="A503" s="155"/>
      <c r="B503" s="155"/>
      <c r="K503" s="155"/>
      <c r="L503" s="155"/>
      <c r="M503" s="155"/>
    </row>
    <row r="504" spans="1:13" x14ac:dyDescent="0.15">
      <c r="A504" s="155"/>
      <c r="B504" s="155"/>
      <c r="K504" s="155"/>
      <c r="L504" s="155"/>
      <c r="M504" s="155"/>
    </row>
    <row r="505" spans="1:13" x14ac:dyDescent="0.15">
      <c r="A505" s="155"/>
      <c r="B505" s="155"/>
      <c r="K505" s="155"/>
      <c r="L505" s="155"/>
      <c r="M505" s="155"/>
    </row>
    <row r="506" spans="1:13" x14ac:dyDescent="0.15">
      <c r="A506" s="155"/>
      <c r="B506" s="155"/>
      <c r="K506" s="155"/>
      <c r="L506" s="155"/>
      <c r="M506" s="155"/>
    </row>
    <row r="507" spans="1:13" x14ac:dyDescent="0.15">
      <c r="A507" s="155"/>
      <c r="B507" s="155"/>
      <c r="K507" s="155"/>
      <c r="L507" s="155"/>
      <c r="M507" s="155"/>
    </row>
    <row r="508" spans="1:13" x14ac:dyDescent="0.15">
      <c r="A508" s="155"/>
      <c r="B508" s="155"/>
      <c r="K508" s="155"/>
      <c r="L508" s="155"/>
      <c r="M508" s="155"/>
    </row>
    <row r="509" spans="1:13" x14ac:dyDescent="0.15">
      <c r="A509" s="155"/>
      <c r="B509" s="155"/>
      <c r="K509" s="155"/>
      <c r="L509" s="155"/>
      <c r="M509" s="155"/>
    </row>
    <row r="510" spans="1:13" x14ac:dyDescent="0.15">
      <c r="A510" s="155"/>
      <c r="B510" s="155"/>
      <c r="K510" s="155"/>
      <c r="L510" s="155"/>
      <c r="M510" s="155"/>
    </row>
    <row r="511" spans="1:13" x14ac:dyDescent="0.15">
      <c r="A511" s="155"/>
      <c r="B511" s="155"/>
      <c r="K511" s="155"/>
      <c r="L511" s="155"/>
      <c r="M511" s="155"/>
    </row>
    <row r="512" spans="1:13" x14ac:dyDescent="0.15">
      <c r="A512" s="155"/>
      <c r="B512" s="155"/>
      <c r="K512" s="155"/>
      <c r="L512" s="155"/>
      <c r="M512" s="155"/>
    </row>
    <row r="513" spans="1:13" x14ac:dyDescent="0.15">
      <c r="A513" s="155"/>
      <c r="B513" s="155"/>
      <c r="K513" s="155"/>
      <c r="L513" s="155"/>
      <c r="M513" s="155"/>
    </row>
    <row r="514" spans="1:13" x14ac:dyDescent="0.15">
      <c r="A514" s="155"/>
      <c r="B514" s="155"/>
      <c r="K514" s="155"/>
      <c r="L514" s="155"/>
      <c r="M514" s="155"/>
    </row>
    <row r="515" spans="1:13" x14ac:dyDescent="0.15">
      <c r="A515" s="155"/>
      <c r="B515" s="155"/>
      <c r="K515" s="155"/>
      <c r="L515" s="155"/>
      <c r="M515" s="155"/>
    </row>
    <row r="516" spans="1:13" x14ac:dyDescent="0.15">
      <c r="A516" s="155"/>
      <c r="B516" s="155"/>
      <c r="K516" s="155"/>
      <c r="L516" s="155"/>
      <c r="M516" s="155"/>
    </row>
    <row r="517" spans="1:13" x14ac:dyDescent="0.15">
      <c r="A517" s="155"/>
      <c r="B517" s="155"/>
      <c r="K517" s="155"/>
      <c r="L517" s="155"/>
      <c r="M517" s="155"/>
    </row>
    <row r="518" spans="1:13" x14ac:dyDescent="0.15">
      <c r="A518" s="155"/>
      <c r="B518" s="155"/>
      <c r="K518" s="155"/>
      <c r="L518" s="155"/>
      <c r="M518" s="155"/>
    </row>
    <row r="519" spans="1:13" x14ac:dyDescent="0.15">
      <c r="A519" s="155"/>
      <c r="B519" s="155"/>
      <c r="K519" s="155"/>
      <c r="L519" s="155"/>
      <c r="M519" s="155"/>
    </row>
    <row r="520" spans="1:13" x14ac:dyDescent="0.15">
      <c r="A520" s="155"/>
      <c r="B520" s="155"/>
      <c r="K520" s="155"/>
      <c r="L520" s="155"/>
      <c r="M520" s="155"/>
    </row>
    <row r="521" spans="1:13" x14ac:dyDescent="0.15">
      <c r="A521" s="155"/>
      <c r="B521" s="155"/>
      <c r="K521" s="155"/>
      <c r="L521" s="155"/>
      <c r="M521" s="155"/>
    </row>
    <row r="522" spans="1:13" x14ac:dyDescent="0.15">
      <c r="A522" s="155"/>
      <c r="B522" s="155"/>
      <c r="K522" s="155"/>
      <c r="L522" s="155"/>
      <c r="M522" s="155"/>
    </row>
    <row r="523" spans="1:13" x14ac:dyDescent="0.15">
      <c r="A523" s="155"/>
      <c r="B523" s="155"/>
      <c r="K523" s="155"/>
      <c r="L523" s="155"/>
      <c r="M523" s="155"/>
    </row>
    <row r="524" spans="1:13" x14ac:dyDescent="0.15">
      <c r="A524" s="155"/>
      <c r="B524" s="155"/>
      <c r="K524" s="155"/>
      <c r="L524" s="155"/>
      <c r="M524" s="155"/>
    </row>
    <row r="525" spans="1:13" x14ac:dyDescent="0.15">
      <c r="A525" s="155"/>
      <c r="B525" s="155"/>
      <c r="K525" s="155"/>
      <c r="L525" s="155"/>
      <c r="M525" s="155"/>
    </row>
    <row r="526" spans="1:13" x14ac:dyDescent="0.15">
      <c r="A526" s="155"/>
      <c r="B526" s="155"/>
      <c r="K526" s="155"/>
      <c r="L526" s="155"/>
      <c r="M526" s="155"/>
    </row>
    <row r="527" spans="1:13" x14ac:dyDescent="0.15">
      <c r="A527" s="155"/>
      <c r="B527" s="155"/>
      <c r="K527" s="155"/>
      <c r="L527" s="155"/>
      <c r="M527" s="155"/>
    </row>
    <row r="528" spans="1:13" x14ac:dyDescent="0.15">
      <c r="A528" s="155"/>
      <c r="B528" s="155"/>
      <c r="K528" s="155"/>
      <c r="L528" s="155"/>
      <c r="M528" s="155"/>
    </row>
    <row r="529" spans="1:13" x14ac:dyDescent="0.15">
      <c r="A529" s="155"/>
      <c r="B529" s="155"/>
      <c r="K529" s="155"/>
      <c r="L529" s="155"/>
      <c r="M529" s="155"/>
    </row>
    <row r="530" spans="1:13" x14ac:dyDescent="0.15">
      <c r="A530" s="155"/>
      <c r="B530" s="155"/>
      <c r="K530" s="155"/>
      <c r="L530" s="155"/>
      <c r="M530" s="155"/>
    </row>
    <row r="531" spans="1:13" x14ac:dyDescent="0.15">
      <c r="A531" s="155"/>
      <c r="B531" s="155"/>
      <c r="K531" s="155"/>
      <c r="L531" s="155"/>
      <c r="M531" s="155"/>
    </row>
    <row r="532" spans="1:13" x14ac:dyDescent="0.15">
      <c r="A532" s="155"/>
      <c r="B532" s="155"/>
      <c r="K532" s="155"/>
      <c r="L532" s="155"/>
      <c r="M532" s="155"/>
    </row>
    <row r="533" spans="1:13" x14ac:dyDescent="0.15">
      <c r="A533" s="155"/>
      <c r="B533" s="155"/>
      <c r="K533" s="155"/>
      <c r="L533" s="155"/>
      <c r="M533" s="155"/>
    </row>
    <row r="534" spans="1:13" x14ac:dyDescent="0.15">
      <c r="A534" s="155"/>
      <c r="B534" s="155"/>
      <c r="K534" s="155"/>
      <c r="L534" s="155"/>
      <c r="M534" s="155"/>
    </row>
    <row r="535" spans="1:13" x14ac:dyDescent="0.15">
      <c r="A535" s="155"/>
      <c r="B535" s="155"/>
      <c r="K535" s="155"/>
      <c r="L535" s="155"/>
      <c r="M535" s="155"/>
    </row>
    <row r="536" spans="1:13" x14ac:dyDescent="0.15">
      <c r="A536" s="155"/>
      <c r="B536" s="155"/>
      <c r="K536" s="155"/>
      <c r="L536" s="155"/>
      <c r="M536" s="155"/>
    </row>
    <row r="537" spans="1:13" x14ac:dyDescent="0.15">
      <c r="A537" s="155"/>
      <c r="B537" s="155"/>
      <c r="K537" s="155"/>
      <c r="L537" s="155"/>
      <c r="M537" s="155"/>
    </row>
    <row r="538" spans="1:13" x14ac:dyDescent="0.15">
      <c r="A538" s="155"/>
      <c r="B538" s="155"/>
      <c r="K538" s="155"/>
      <c r="L538" s="155"/>
      <c r="M538" s="155"/>
    </row>
    <row r="539" spans="1:13" x14ac:dyDescent="0.15">
      <c r="A539" s="155"/>
      <c r="B539" s="155"/>
      <c r="K539" s="155"/>
      <c r="L539" s="155"/>
      <c r="M539" s="155"/>
    </row>
    <row r="540" spans="1:13" x14ac:dyDescent="0.15">
      <c r="A540" s="155"/>
      <c r="B540" s="155"/>
      <c r="K540" s="155"/>
      <c r="L540" s="155"/>
      <c r="M540" s="155"/>
    </row>
    <row r="541" spans="1:13" x14ac:dyDescent="0.15">
      <c r="A541" s="155"/>
      <c r="B541" s="155"/>
      <c r="K541" s="155"/>
      <c r="L541" s="155"/>
      <c r="M541" s="155"/>
    </row>
    <row r="542" spans="1:13" x14ac:dyDescent="0.15">
      <c r="A542" s="155"/>
      <c r="B542" s="155"/>
      <c r="K542" s="155"/>
      <c r="L542" s="155"/>
      <c r="M542" s="155"/>
    </row>
    <row r="543" spans="1:13" x14ac:dyDescent="0.15">
      <c r="A543" s="155"/>
      <c r="B543" s="155"/>
      <c r="K543" s="155"/>
      <c r="L543" s="155"/>
      <c r="M543" s="155"/>
    </row>
    <row r="544" spans="1:13" x14ac:dyDescent="0.15">
      <c r="A544" s="155"/>
      <c r="B544" s="155"/>
      <c r="K544" s="155"/>
      <c r="L544" s="155"/>
      <c r="M544" s="155"/>
    </row>
    <row r="545" spans="1:13" x14ac:dyDescent="0.15">
      <c r="A545" s="155"/>
      <c r="B545" s="155"/>
      <c r="K545" s="155"/>
      <c r="L545" s="155"/>
      <c r="M545" s="155"/>
    </row>
    <row r="546" spans="1:13" x14ac:dyDescent="0.15">
      <c r="A546" s="155"/>
      <c r="B546" s="155"/>
      <c r="K546" s="155"/>
      <c r="L546" s="155"/>
      <c r="M546" s="155"/>
    </row>
    <row r="547" spans="1:13" x14ac:dyDescent="0.15">
      <c r="A547" s="155"/>
      <c r="B547" s="155"/>
      <c r="K547" s="155"/>
      <c r="L547" s="155"/>
      <c r="M547" s="155"/>
    </row>
    <row r="548" spans="1:13" x14ac:dyDescent="0.15">
      <c r="A548" s="155"/>
      <c r="B548" s="155"/>
      <c r="K548" s="155"/>
      <c r="L548" s="155"/>
      <c r="M548" s="155"/>
    </row>
    <row r="549" spans="1:13" x14ac:dyDescent="0.15">
      <c r="A549" s="155"/>
      <c r="B549" s="155"/>
      <c r="K549" s="155"/>
      <c r="L549" s="155"/>
      <c r="M549" s="155"/>
    </row>
    <row r="550" spans="1:13" x14ac:dyDescent="0.15">
      <c r="A550" s="155"/>
      <c r="B550" s="155"/>
      <c r="K550" s="155"/>
      <c r="L550" s="155"/>
      <c r="M550" s="155"/>
    </row>
    <row r="551" spans="1:13" x14ac:dyDescent="0.15">
      <c r="A551" s="155"/>
      <c r="B551" s="155"/>
      <c r="K551" s="155"/>
      <c r="L551" s="155"/>
      <c r="M551" s="155"/>
    </row>
    <row r="552" spans="1:13" x14ac:dyDescent="0.15">
      <c r="A552" s="155"/>
      <c r="B552" s="155"/>
      <c r="K552" s="155"/>
      <c r="L552" s="155"/>
      <c r="M552" s="155"/>
    </row>
    <row r="553" spans="1:13" x14ac:dyDescent="0.15">
      <c r="A553" s="155"/>
      <c r="B553" s="155"/>
      <c r="K553" s="155"/>
      <c r="L553" s="155"/>
      <c r="M553" s="155"/>
    </row>
    <row r="554" spans="1:13" x14ac:dyDescent="0.15">
      <c r="A554" s="155"/>
      <c r="B554" s="155"/>
      <c r="K554" s="155"/>
      <c r="L554" s="155"/>
      <c r="M554" s="155"/>
    </row>
    <row r="555" spans="1:13" x14ac:dyDescent="0.15">
      <c r="A555" s="155"/>
      <c r="B555" s="155"/>
      <c r="K555" s="155"/>
      <c r="L555" s="155"/>
      <c r="M555" s="155"/>
    </row>
    <row r="556" spans="1:13" x14ac:dyDescent="0.15">
      <c r="A556" s="155"/>
      <c r="B556" s="155"/>
      <c r="K556" s="155"/>
      <c r="L556" s="155"/>
      <c r="M556" s="155"/>
    </row>
    <row r="557" spans="1:13" x14ac:dyDescent="0.15">
      <c r="A557" s="155"/>
      <c r="B557" s="155"/>
      <c r="K557" s="155"/>
      <c r="L557" s="155"/>
      <c r="M557" s="155"/>
    </row>
    <row r="558" spans="1:13" x14ac:dyDescent="0.15">
      <c r="A558" s="155"/>
      <c r="B558" s="155"/>
      <c r="K558" s="155"/>
      <c r="L558" s="155"/>
      <c r="M558" s="155"/>
    </row>
    <row r="559" spans="1:13" x14ac:dyDescent="0.15">
      <c r="A559" s="155"/>
      <c r="B559" s="155"/>
      <c r="K559" s="155"/>
      <c r="L559" s="155"/>
      <c r="M559" s="155"/>
    </row>
    <row r="560" spans="1:13" x14ac:dyDescent="0.15">
      <c r="A560" s="155"/>
      <c r="B560" s="155"/>
      <c r="K560" s="155"/>
      <c r="L560" s="155"/>
      <c r="M560" s="155"/>
    </row>
    <row r="561" spans="1:13" x14ac:dyDescent="0.15">
      <c r="A561" s="155"/>
      <c r="B561" s="155"/>
      <c r="K561" s="155"/>
      <c r="L561" s="155"/>
      <c r="M561" s="155"/>
    </row>
    <row r="562" spans="1:13" x14ac:dyDescent="0.15">
      <c r="A562" s="155"/>
      <c r="B562" s="155"/>
      <c r="K562" s="155"/>
      <c r="L562" s="155"/>
      <c r="M562" s="155"/>
    </row>
    <row r="563" spans="1:13" x14ac:dyDescent="0.15">
      <c r="A563" s="155"/>
      <c r="B563" s="155"/>
      <c r="K563" s="155"/>
      <c r="L563" s="155"/>
      <c r="M563" s="155"/>
    </row>
    <row r="564" spans="1:13" x14ac:dyDescent="0.15">
      <c r="A564" s="155"/>
      <c r="B564" s="155"/>
      <c r="K564" s="155"/>
      <c r="L564" s="155"/>
      <c r="M564" s="155"/>
    </row>
    <row r="565" spans="1:13" x14ac:dyDescent="0.15">
      <c r="A565" s="155"/>
      <c r="B565" s="155"/>
      <c r="K565" s="155"/>
      <c r="L565" s="155"/>
      <c r="M565" s="155"/>
    </row>
    <row r="566" spans="1:13" x14ac:dyDescent="0.15">
      <c r="A566" s="155"/>
      <c r="B566" s="155"/>
      <c r="K566" s="155"/>
      <c r="L566" s="155"/>
      <c r="M566" s="155"/>
    </row>
    <row r="567" spans="1:13" x14ac:dyDescent="0.15">
      <c r="A567" s="155"/>
      <c r="B567" s="155"/>
      <c r="K567" s="155"/>
      <c r="L567" s="155"/>
      <c r="M567" s="155"/>
    </row>
    <row r="568" spans="1:13" x14ac:dyDescent="0.15">
      <c r="A568" s="155"/>
      <c r="B568" s="155"/>
      <c r="K568" s="155"/>
      <c r="L568" s="155"/>
      <c r="M568" s="155"/>
    </row>
    <row r="569" spans="1:13" x14ac:dyDescent="0.15">
      <c r="A569" s="155"/>
      <c r="B569" s="155"/>
      <c r="K569" s="155"/>
      <c r="L569" s="155"/>
      <c r="M569" s="155"/>
    </row>
    <row r="570" spans="1:13" x14ac:dyDescent="0.15">
      <c r="A570" s="155"/>
      <c r="B570" s="155"/>
      <c r="K570" s="155"/>
      <c r="L570" s="155"/>
      <c r="M570" s="155"/>
    </row>
    <row r="571" spans="1:13" x14ac:dyDescent="0.15">
      <c r="A571" s="155"/>
      <c r="B571" s="155"/>
      <c r="K571" s="155"/>
      <c r="L571" s="155"/>
      <c r="M571" s="155"/>
    </row>
    <row r="572" spans="1:13" x14ac:dyDescent="0.15">
      <c r="A572" s="155"/>
      <c r="B572" s="155"/>
      <c r="K572" s="155"/>
      <c r="L572" s="155"/>
      <c r="M572" s="155"/>
    </row>
    <row r="573" spans="1:13" x14ac:dyDescent="0.15">
      <c r="A573" s="155"/>
      <c r="B573" s="155"/>
      <c r="K573" s="155"/>
      <c r="L573" s="155"/>
      <c r="M573" s="155"/>
    </row>
    <row r="574" spans="1:13" x14ac:dyDescent="0.15">
      <c r="A574" s="155"/>
      <c r="B574" s="155"/>
      <c r="K574" s="155"/>
      <c r="L574" s="155"/>
      <c r="M574" s="155"/>
    </row>
    <row r="575" spans="1:13" x14ac:dyDescent="0.15">
      <c r="A575" s="155"/>
      <c r="B575" s="155"/>
      <c r="K575" s="155"/>
      <c r="L575" s="155"/>
      <c r="M575" s="155"/>
    </row>
    <row r="576" spans="1:13" x14ac:dyDescent="0.15">
      <c r="A576" s="155"/>
      <c r="B576" s="155"/>
      <c r="K576" s="155"/>
      <c r="L576" s="155"/>
      <c r="M576" s="155"/>
    </row>
    <row r="577" spans="1:13" x14ac:dyDescent="0.15">
      <c r="A577" s="155"/>
      <c r="B577" s="155"/>
      <c r="K577" s="155"/>
      <c r="L577" s="155"/>
      <c r="M577" s="155"/>
    </row>
    <row r="578" spans="1:13" x14ac:dyDescent="0.15">
      <c r="A578" s="155"/>
      <c r="B578" s="155"/>
      <c r="K578" s="155"/>
      <c r="L578" s="155"/>
      <c r="M578" s="155"/>
    </row>
    <row r="579" spans="1:13" x14ac:dyDescent="0.15">
      <c r="A579" s="155"/>
      <c r="B579" s="155"/>
      <c r="K579" s="155"/>
      <c r="L579" s="155"/>
      <c r="M579" s="155"/>
    </row>
    <row r="580" spans="1:13" x14ac:dyDescent="0.15">
      <c r="A580" s="155"/>
      <c r="B580" s="155"/>
      <c r="K580" s="155"/>
      <c r="L580" s="155"/>
      <c r="M580" s="155"/>
    </row>
    <row r="581" spans="1:13" x14ac:dyDescent="0.15">
      <c r="A581" s="155"/>
      <c r="B581" s="155"/>
      <c r="K581" s="155"/>
      <c r="L581" s="155"/>
      <c r="M581" s="155"/>
    </row>
    <row r="582" spans="1:13" x14ac:dyDescent="0.15">
      <c r="A582" s="155"/>
      <c r="B582" s="155"/>
      <c r="K582" s="155"/>
      <c r="L582" s="155"/>
      <c r="M582" s="155"/>
    </row>
    <row r="583" spans="1:13" x14ac:dyDescent="0.15">
      <c r="A583" s="155"/>
      <c r="B583" s="155"/>
      <c r="K583" s="155"/>
      <c r="L583" s="155"/>
      <c r="M583" s="155"/>
    </row>
    <row r="584" spans="1:13" x14ac:dyDescent="0.15">
      <c r="A584" s="155"/>
      <c r="B584" s="155"/>
      <c r="K584" s="155"/>
      <c r="L584" s="155"/>
      <c r="M584" s="155"/>
    </row>
    <row r="585" spans="1:13" x14ac:dyDescent="0.15">
      <c r="A585" s="155"/>
      <c r="B585" s="155"/>
      <c r="K585" s="155"/>
      <c r="L585" s="155"/>
      <c r="M585" s="155"/>
    </row>
    <row r="586" spans="1:13" x14ac:dyDescent="0.15">
      <c r="A586" s="155"/>
      <c r="B586" s="155"/>
      <c r="K586" s="155"/>
      <c r="L586" s="155"/>
      <c r="M586" s="155"/>
    </row>
    <row r="587" spans="1:13" x14ac:dyDescent="0.15">
      <c r="A587" s="155"/>
      <c r="B587" s="155"/>
      <c r="K587" s="155"/>
      <c r="L587" s="155"/>
      <c r="M587" s="155"/>
    </row>
    <row r="588" spans="1:13" x14ac:dyDescent="0.15">
      <c r="A588" s="155"/>
      <c r="B588" s="155"/>
      <c r="K588" s="155"/>
      <c r="L588" s="155"/>
      <c r="M588" s="155"/>
    </row>
    <row r="589" spans="1:13" x14ac:dyDescent="0.15">
      <c r="A589" s="155"/>
      <c r="B589" s="155"/>
      <c r="K589" s="155"/>
      <c r="L589" s="155"/>
      <c r="M589" s="155"/>
    </row>
    <row r="590" spans="1:13" x14ac:dyDescent="0.15">
      <c r="A590" s="155"/>
      <c r="B590" s="155"/>
      <c r="K590" s="155"/>
      <c r="L590" s="155"/>
      <c r="M590" s="155"/>
    </row>
    <row r="591" spans="1:13" x14ac:dyDescent="0.15">
      <c r="A591" s="155"/>
      <c r="B591" s="155"/>
      <c r="K591" s="155"/>
      <c r="L591" s="155"/>
      <c r="M591" s="155"/>
    </row>
    <row r="592" spans="1:13" x14ac:dyDescent="0.15">
      <c r="A592" s="155"/>
      <c r="B592" s="155"/>
      <c r="K592" s="155"/>
      <c r="L592" s="155"/>
      <c r="M592" s="155"/>
    </row>
    <row r="593" spans="1:13" x14ac:dyDescent="0.15">
      <c r="A593" s="155"/>
      <c r="B593" s="155"/>
      <c r="K593" s="155"/>
      <c r="L593" s="155"/>
      <c r="M593" s="155"/>
    </row>
    <row r="594" spans="1:13" x14ac:dyDescent="0.15">
      <c r="A594" s="155"/>
      <c r="B594" s="155"/>
      <c r="K594" s="155"/>
      <c r="L594" s="155"/>
      <c r="M594" s="155"/>
    </row>
    <row r="595" spans="1:13" x14ac:dyDescent="0.15">
      <c r="A595" s="155"/>
      <c r="B595" s="155"/>
      <c r="K595" s="155"/>
      <c r="L595" s="155"/>
      <c r="M595" s="155"/>
    </row>
    <row r="596" spans="1:13" x14ac:dyDescent="0.15">
      <c r="A596" s="155"/>
      <c r="B596" s="155"/>
      <c r="K596" s="155"/>
      <c r="L596" s="155"/>
      <c r="M596" s="155"/>
    </row>
    <row r="597" spans="1:13" x14ac:dyDescent="0.15">
      <c r="A597" s="155"/>
      <c r="B597" s="155"/>
      <c r="K597" s="155"/>
      <c r="L597" s="155"/>
      <c r="M597" s="155"/>
    </row>
    <row r="598" spans="1:13" x14ac:dyDescent="0.15">
      <c r="A598" s="155"/>
      <c r="B598" s="155"/>
      <c r="K598" s="155"/>
      <c r="L598" s="155"/>
      <c r="M598" s="155"/>
    </row>
    <row r="599" spans="1:13" x14ac:dyDescent="0.15">
      <c r="A599" s="155"/>
      <c r="B599" s="155"/>
      <c r="K599" s="155"/>
      <c r="L599" s="155"/>
      <c r="M599" s="155"/>
    </row>
    <row r="600" spans="1:13" x14ac:dyDescent="0.15">
      <c r="A600" s="155"/>
      <c r="B600" s="155"/>
      <c r="K600" s="155"/>
      <c r="L600" s="155"/>
      <c r="M600" s="155"/>
    </row>
    <row r="601" spans="1:13" x14ac:dyDescent="0.15">
      <c r="A601" s="155"/>
      <c r="B601" s="155"/>
      <c r="K601" s="155"/>
      <c r="L601" s="155"/>
      <c r="M601" s="155"/>
    </row>
    <row r="602" spans="1:13" x14ac:dyDescent="0.15">
      <c r="A602" s="155"/>
      <c r="B602" s="155"/>
      <c r="K602" s="155"/>
      <c r="L602" s="155"/>
      <c r="M602" s="155"/>
    </row>
    <row r="603" spans="1:13" x14ac:dyDescent="0.15">
      <c r="A603" s="155"/>
      <c r="B603" s="155"/>
      <c r="K603" s="155"/>
      <c r="L603" s="155"/>
      <c r="M603" s="155"/>
    </row>
    <row r="604" spans="1:13" x14ac:dyDescent="0.15">
      <c r="A604" s="155"/>
      <c r="B604" s="155"/>
      <c r="K604" s="155"/>
      <c r="L604" s="155"/>
      <c r="M604" s="155"/>
    </row>
    <row r="605" spans="1:13" x14ac:dyDescent="0.15">
      <c r="A605" s="155"/>
      <c r="B605" s="155"/>
      <c r="K605" s="155"/>
      <c r="L605" s="155"/>
      <c r="M605" s="155"/>
    </row>
    <row r="606" spans="1:13" x14ac:dyDescent="0.15">
      <c r="A606" s="155"/>
      <c r="B606" s="155"/>
      <c r="K606" s="155"/>
      <c r="L606" s="155"/>
      <c r="M606" s="155"/>
    </row>
    <row r="607" spans="1:13" x14ac:dyDescent="0.15">
      <c r="A607" s="155"/>
      <c r="B607" s="155"/>
      <c r="K607" s="155"/>
      <c r="L607" s="155"/>
      <c r="M607" s="155"/>
    </row>
    <row r="608" spans="1:13" x14ac:dyDescent="0.15">
      <c r="A608" s="155"/>
      <c r="B608" s="155"/>
      <c r="K608" s="155"/>
      <c r="L608" s="155"/>
      <c r="M608" s="155"/>
    </row>
    <row r="609" spans="1:13" x14ac:dyDescent="0.15">
      <c r="A609" s="155"/>
      <c r="B609" s="155"/>
      <c r="K609" s="155"/>
      <c r="L609" s="155"/>
      <c r="M609" s="155"/>
    </row>
    <row r="610" spans="1:13" x14ac:dyDescent="0.15">
      <c r="A610" s="155"/>
      <c r="B610" s="155"/>
      <c r="K610" s="155"/>
      <c r="L610" s="155"/>
      <c r="M610" s="155"/>
    </row>
    <row r="611" spans="1:13" x14ac:dyDescent="0.15">
      <c r="A611" s="155"/>
      <c r="B611" s="155"/>
      <c r="K611" s="155"/>
      <c r="L611" s="155"/>
      <c r="M611" s="155"/>
    </row>
    <row r="612" spans="1:13" x14ac:dyDescent="0.15">
      <c r="A612" s="155"/>
      <c r="B612" s="155"/>
      <c r="K612" s="155"/>
      <c r="L612" s="155"/>
      <c r="M612" s="155"/>
    </row>
    <row r="613" spans="1:13" x14ac:dyDescent="0.15">
      <c r="A613" s="155"/>
      <c r="B613" s="155"/>
      <c r="K613" s="155"/>
      <c r="L613" s="155"/>
      <c r="M613" s="155"/>
    </row>
    <row r="614" spans="1:13" x14ac:dyDescent="0.15">
      <c r="A614" s="155"/>
      <c r="B614" s="155"/>
      <c r="K614" s="155"/>
      <c r="L614" s="155"/>
      <c r="M614" s="155"/>
    </row>
    <row r="615" spans="1:13" x14ac:dyDescent="0.15">
      <c r="A615" s="155"/>
      <c r="B615" s="155"/>
      <c r="K615" s="155"/>
      <c r="L615" s="155"/>
      <c r="M615" s="155"/>
    </row>
    <row r="616" spans="1:13" x14ac:dyDescent="0.15">
      <c r="A616" s="155"/>
      <c r="B616" s="155"/>
      <c r="K616" s="155"/>
      <c r="L616" s="155"/>
      <c r="M616" s="155"/>
    </row>
    <row r="617" spans="1:13" x14ac:dyDescent="0.15">
      <c r="A617" s="155"/>
      <c r="B617" s="155"/>
      <c r="K617" s="155"/>
      <c r="L617" s="155"/>
      <c r="M617" s="155"/>
    </row>
    <row r="618" spans="1:13" x14ac:dyDescent="0.15">
      <c r="A618" s="155"/>
      <c r="B618" s="155"/>
      <c r="K618" s="155"/>
      <c r="L618" s="155"/>
      <c r="M618" s="155"/>
    </row>
    <row r="619" spans="1:13" x14ac:dyDescent="0.15">
      <c r="A619" s="155"/>
      <c r="B619" s="155"/>
      <c r="K619" s="155"/>
      <c r="L619" s="155"/>
      <c r="M619" s="155"/>
    </row>
    <row r="620" spans="1:13" x14ac:dyDescent="0.15">
      <c r="A620" s="155"/>
      <c r="B620" s="155"/>
      <c r="K620" s="155"/>
      <c r="L620" s="155"/>
      <c r="M620" s="155"/>
    </row>
    <row r="621" spans="1:13" x14ac:dyDescent="0.15">
      <c r="A621" s="155"/>
      <c r="B621" s="155"/>
      <c r="K621" s="155"/>
      <c r="L621" s="155"/>
      <c r="M621" s="155"/>
    </row>
    <row r="622" spans="1:13" x14ac:dyDescent="0.15">
      <c r="A622" s="155"/>
      <c r="B622" s="155"/>
      <c r="K622" s="155"/>
      <c r="L622" s="155"/>
      <c r="M622" s="155"/>
    </row>
    <row r="623" spans="1:13" x14ac:dyDescent="0.15">
      <c r="A623" s="155"/>
      <c r="B623" s="155"/>
      <c r="K623" s="155"/>
      <c r="L623" s="155"/>
      <c r="M623" s="155"/>
    </row>
    <row r="624" spans="1:13" x14ac:dyDescent="0.15">
      <c r="A624" s="155"/>
      <c r="B624" s="155"/>
      <c r="K624" s="155"/>
      <c r="L624" s="155"/>
      <c r="M624" s="155"/>
    </row>
    <row r="625" spans="1:13" x14ac:dyDescent="0.15">
      <c r="A625" s="155"/>
      <c r="B625" s="155"/>
      <c r="K625" s="155"/>
      <c r="L625" s="155"/>
      <c r="M625" s="155"/>
    </row>
    <row r="626" spans="1:13" x14ac:dyDescent="0.15">
      <c r="A626" s="155"/>
      <c r="B626" s="155"/>
      <c r="K626" s="155"/>
      <c r="L626" s="155"/>
      <c r="M626" s="155"/>
    </row>
    <row r="627" spans="1:13" x14ac:dyDescent="0.15">
      <c r="A627" s="155"/>
      <c r="B627" s="155"/>
      <c r="K627" s="155"/>
      <c r="L627" s="155"/>
      <c r="M627" s="155"/>
    </row>
    <row r="628" spans="1:13" x14ac:dyDescent="0.15">
      <c r="A628" s="155"/>
      <c r="B628" s="155"/>
      <c r="K628" s="155"/>
      <c r="L628" s="155"/>
      <c r="M628" s="155"/>
    </row>
    <row r="629" spans="1:13" x14ac:dyDescent="0.15">
      <c r="A629" s="155"/>
      <c r="B629" s="155"/>
      <c r="K629" s="155"/>
      <c r="L629" s="155"/>
      <c r="M629" s="155"/>
    </row>
    <row r="630" spans="1:13" x14ac:dyDescent="0.15">
      <c r="A630" s="155"/>
      <c r="B630" s="155"/>
      <c r="K630" s="155"/>
      <c r="L630" s="155"/>
      <c r="M630" s="155"/>
    </row>
    <row r="631" spans="1:13" x14ac:dyDescent="0.15">
      <c r="A631" s="155"/>
      <c r="B631" s="155"/>
      <c r="K631" s="155"/>
      <c r="L631" s="155"/>
      <c r="M631" s="155"/>
    </row>
    <row r="632" spans="1:13" x14ac:dyDescent="0.15">
      <c r="A632" s="155"/>
      <c r="B632" s="155"/>
      <c r="K632" s="155"/>
      <c r="L632" s="155"/>
      <c r="M632" s="155"/>
    </row>
    <row r="633" spans="1:13" x14ac:dyDescent="0.15">
      <c r="A633" s="155"/>
      <c r="B633" s="155"/>
      <c r="K633" s="155"/>
      <c r="L633" s="155"/>
      <c r="M633" s="155"/>
    </row>
    <row r="634" spans="1:13" x14ac:dyDescent="0.15">
      <c r="A634" s="155"/>
      <c r="B634" s="155"/>
      <c r="K634" s="155"/>
      <c r="L634" s="155"/>
      <c r="M634" s="155"/>
    </row>
    <row r="635" spans="1:13" x14ac:dyDescent="0.15">
      <c r="A635" s="155"/>
      <c r="B635" s="155"/>
      <c r="K635" s="155"/>
      <c r="L635" s="155"/>
      <c r="M635" s="155"/>
    </row>
    <row r="636" spans="1:13" x14ac:dyDescent="0.15">
      <c r="A636" s="155"/>
      <c r="B636" s="155"/>
      <c r="K636" s="155"/>
      <c r="L636" s="155"/>
      <c r="M636" s="155"/>
    </row>
    <row r="637" spans="1:13" x14ac:dyDescent="0.15">
      <c r="A637" s="155"/>
      <c r="B637" s="155"/>
      <c r="K637" s="155"/>
      <c r="L637" s="155"/>
      <c r="M637" s="155"/>
    </row>
    <row r="638" spans="1:13" x14ac:dyDescent="0.15">
      <c r="A638" s="155"/>
      <c r="B638" s="155"/>
      <c r="K638" s="155"/>
      <c r="L638" s="155"/>
      <c r="M638" s="155"/>
    </row>
    <row r="639" spans="1:13" x14ac:dyDescent="0.15">
      <c r="A639" s="155"/>
      <c r="B639" s="155"/>
      <c r="K639" s="155"/>
      <c r="L639" s="155"/>
      <c r="M639" s="155"/>
    </row>
    <row r="640" spans="1:13" x14ac:dyDescent="0.15">
      <c r="A640" s="155"/>
      <c r="B640" s="155"/>
      <c r="K640" s="155"/>
      <c r="L640" s="155"/>
      <c r="M640" s="155"/>
    </row>
    <row r="641" spans="1:13" x14ac:dyDescent="0.15">
      <c r="A641" s="155"/>
      <c r="B641" s="155"/>
      <c r="K641" s="155"/>
      <c r="L641" s="155"/>
      <c r="M641" s="155"/>
    </row>
    <row r="642" spans="1:13" x14ac:dyDescent="0.15">
      <c r="A642" s="155"/>
      <c r="B642" s="155"/>
      <c r="K642" s="155"/>
      <c r="L642" s="155"/>
      <c r="M642" s="155"/>
    </row>
    <row r="643" spans="1:13" x14ac:dyDescent="0.15">
      <c r="A643" s="155"/>
      <c r="B643" s="155"/>
      <c r="K643" s="155"/>
      <c r="L643" s="155"/>
      <c r="M643" s="155"/>
    </row>
    <row r="644" spans="1:13" x14ac:dyDescent="0.15">
      <c r="A644" s="155"/>
      <c r="B644" s="155"/>
      <c r="K644" s="155"/>
      <c r="L644" s="155"/>
      <c r="M644" s="155"/>
    </row>
    <row r="645" spans="1:13" x14ac:dyDescent="0.15">
      <c r="A645" s="155"/>
      <c r="B645" s="155"/>
      <c r="K645" s="155"/>
      <c r="L645" s="155"/>
      <c r="M645" s="155"/>
    </row>
    <row r="646" spans="1:13" x14ac:dyDescent="0.15">
      <c r="A646" s="155"/>
      <c r="B646" s="155"/>
      <c r="K646" s="155"/>
      <c r="L646" s="155"/>
      <c r="M646" s="155"/>
    </row>
    <row r="647" spans="1:13" x14ac:dyDescent="0.15">
      <c r="A647" s="155"/>
      <c r="B647" s="155"/>
      <c r="K647" s="155"/>
      <c r="L647" s="155"/>
      <c r="M647" s="155"/>
    </row>
    <row r="648" spans="1:13" x14ac:dyDescent="0.15">
      <c r="A648" s="155"/>
      <c r="B648" s="155"/>
      <c r="K648" s="155"/>
      <c r="L648" s="155"/>
      <c r="M648" s="155"/>
    </row>
    <row r="649" spans="1:13" x14ac:dyDescent="0.15">
      <c r="A649" s="155"/>
      <c r="B649" s="155"/>
      <c r="K649" s="155"/>
      <c r="L649" s="155"/>
      <c r="M649" s="155"/>
    </row>
    <row r="650" spans="1:13" x14ac:dyDescent="0.15">
      <c r="A650" s="155"/>
      <c r="B650" s="155"/>
      <c r="K650" s="155"/>
      <c r="L650" s="155"/>
      <c r="M650" s="155"/>
    </row>
    <row r="651" spans="1:13" x14ac:dyDescent="0.15">
      <c r="A651" s="155"/>
      <c r="B651" s="155"/>
      <c r="K651" s="155"/>
      <c r="L651" s="155"/>
      <c r="M651" s="155"/>
    </row>
    <row r="652" spans="1:13" x14ac:dyDescent="0.15">
      <c r="A652" s="155"/>
      <c r="B652" s="155"/>
      <c r="K652" s="155"/>
      <c r="L652" s="155"/>
      <c r="M652" s="155"/>
    </row>
    <row r="653" spans="1:13" x14ac:dyDescent="0.15">
      <c r="A653" s="155"/>
      <c r="B653" s="155"/>
      <c r="K653" s="155"/>
      <c r="L653" s="155"/>
      <c r="M653" s="155"/>
    </row>
    <row r="654" spans="1:13" x14ac:dyDescent="0.15">
      <c r="A654" s="155"/>
      <c r="B654" s="155"/>
      <c r="K654" s="155"/>
      <c r="L654" s="155"/>
      <c r="M654" s="155"/>
    </row>
    <row r="655" spans="1:13" x14ac:dyDescent="0.15">
      <c r="A655" s="155"/>
      <c r="B655" s="155"/>
      <c r="K655" s="155"/>
      <c r="L655" s="155"/>
      <c r="M655" s="155"/>
    </row>
    <row r="656" spans="1:13" x14ac:dyDescent="0.15">
      <c r="A656" s="155"/>
      <c r="B656" s="155"/>
      <c r="K656" s="155"/>
      <c r="L656" s="155"/>
      <c r="M656" s="155"/>
    </row>
    <row r="657" spans="1:13" x14ac:dyDescent="0.15">
      <c r="A657" s="155"/>
      <c r="B657" s="155"/>
      <c r="K657" s="155"/>
      <c r="L657" s="155"/>
      <c r="M657" s="155"/>
    </row>
    <row r="658" spans="1:13" x14ac:dyDescent="0.15">
      <c r="A658" s="155"/>
      <c r="B658" s="155"/>
      <c r="K658" s="155"/>
      <c r="L658" s="155"/>
      <c r="M658" s="155"/>
    </row>
    <row r="659" spans="1:13" x14ac:dyDescent="0.15">
      <c r="A659" s="155"/>
      <c r="B659" s="155"/>
      <c r="K659" s="155"/>
      <c r="L659" s="155"/>
      <c r="M659" s="155"/>
    </row>
    <row r="660" spans="1:13" x14ac:dyDescent="0.15">
      <c r="A660" s="155"/>
      <c r="B660" s="155"/>
      <c r="K660" s="155"/>
      <c r="L660" s="155"/>
      <c r="M660" s="155"/>
    </row>
    <row r="661" spans="1:13" x14ac:dyDescent="0.15">
      <c r="A661" s="155"/>
      <c r="B661" s="155"/>
      <c r="K661" s="155"/>
      <c r="L661" s="155"/>
      <c r="M661" s="155"/>
    </row>
    <row r="662" spans="1:13" x14ac:dyDescent="0.15">
      <c r="A662" s="155"/>
      <c r="B662" s="155"/>
      <c r="K662" s="155"/>
      <c r="L662" s="155"/>
      <c r="M662" s="155"/>
    </row>
    <row r="663" spans="1:13" x14ac:dyDescent="0.15">
      <c r="A663" s="155"/>
      <c r="B663" s="155"/>
      <c r="K663" s="155"/>
      <c r="L663" s="155"/>
      <c r="M663" s="155"/>
    </row>
    <row r="664" spans="1:13" x14ac:dyDescent="0.15">
      <c r="A664" s="155"/>
      <c r="B664" s="155"/>
      <c r="K664" s="155"/>
      <c r="L664" s="155"/>
      <c r="M664" s="155"/>
    </row>
    <row r="665" spans="1:13" x14ac:dyDescent="0.15">
      <c r="A665" s="155"/>
      <c r="B665" s="155"/>
      <c r="K665" s="155"/>
      <c r="L665" s="155"/>
      <c r="M665" s="155"/>
    </row>
    <row r="666" spans="1:13" x14ac:dyDescent="0.15">
      <c r="A666" s="155"/>
      <c r="B666" s="155"/>
      <c r="K666" s="155"/>
      <c r="L666" s="155"/>
      <c r="M666" s="155"/>
    </row>
    <row r="667" spans="1:13" x14ac:dyDescent="0.15">
      <c r="A667" s="155"/>
      <c r="B667" s="155"/>
      <c r="K667" s="155"/>
      <c r="L667" s="155"/>
      <c r="M667" s="155"/>
    </row>
    <row r="668" spans="1:13" x14ac:dyDescent="0.15">
      <c r="A668" s="155"/>
      <c r="B668" s="155"/>
      <c r="K668" s="155"/>
      <c r="L668" s="155"/>
      <c r="M668" s="155"/>
    </row>
    <row r="669" spans="1:13" x14ac:dyDescent="0.15">
      <c r="A669" s="155"/>
      <c r="B669" s="155"/>
      <c r="K669" s="155"/>
      <c r="L669" s="155"/>
      <c r="M669" s="155"/>
    </row>
    <row r="670" spans="1:13" x14ac:dyDescent="0.15">
      <c r="A670" s="155"/>
      <c r="B670" s="155"/>
      <c r="K670" s="155"/>
      <c r="L670" s="155"/>
      <c r="M670" s="155"/>
    </row>
    <row r="671" spans="1:13" x14ac:dyDescent="0.15">
      <c r="A671" s="155"/>
      <c r="B671" s="155"/>
      <c r="K671" s="155"/>
      <c r="L671" s="155"/>
      <c r="M671" s="155"/>
    </row>
    <row r="672" spans="1:13" x14ac:dyDescent="0.15">
      <c r="A672" s="155"/>
      <c r="B672" s="155"/>
      <c r="K672" s="155"/>
      <c r="L672" s="155"/>
      <c r="M672" s="155"/>
    </row>
    <row r="673" spans="1:13" x14ac:dyDescent="0.15">
      <c r="A673" s="155"/>
      <c r="B673" s="155"/>
      <c r="K673" s="155"/>
      <c r="L673" s="155"/>
      <c r="M673" s="155"/>
    </row>
    <row r="674" spans="1:13" x14ac:dyDescent="0.15">
      <c r="A674" s="155"/>
      <c r="B674" s="155"/>
      <c r="K674" s="155"/>
      <c r="L674" s="155"/>
      <c r="M674" s="155"/>
    </row>
    <row r="675" spans="1:13" x14ac:dyDescent="0.15">
      <c r="A675" s="155"/>
      <c r="B675" s="155"/>
      <c r="K675" s="155"/>
      <c r="L675" s="155"/>
      <c r="M675" s="155"/>
    </row>
    <row r="676" spans="1:13" x14ac:dyDescent="0.15">
      <c r="A676" s="155"/>
      <c r="B676" s="155"/>
      <c r="K676" s="155"/>
      <c r="L676" s="155"/>
      <c r="M676" s="155"/>
    </row>
    <row r="677" spans="1:13" x14ac:dyDescent="0.15">
      <c r="A677" s="155"/>
      <c r="B677" s="155"/>
      <c r="K677" s="155"/>
      <c r="L677" s="155"/>
      <c r="M677" s="155"/>
    </row>
    <row r="678" spans="1:13" x14ac:dyDescent="0.15">
      <c r="A678" s="155"/>
      <c r="B678" s="155"/>
      <c r="K678" s="155"/>
      <c r="L678" s="155"/>
      <c r="M678" s="155"/>
    </row>
    <row r="679" spans="1:13" x14ac:dyDescent="0.15">
      <c r="A679" s="155"/>
      <c r="B679" s="155"/>
      <c r="K679" s="155"/>
      <c r="L679" s="155"/>
      <c r="M679" s="155"/>
    </row>
    <row r="680" spans="1:13" x14ac:dyDescent="0.15">
      <c r="A680" s="155"/>
      <c r="B680" s="155"/>
      <c r="K680" s="155"/>
      <c r="L680" s="155"/>
      <c r="M680" s="155"/>
    </row>
    <row r="681" spans="1:13" x14ac:dyDescent="0.15">
      <c r="A681" s="155"/>
      <c r="B681" s="155"/>
      <c r="K681" s="155"/>
      <c r="L681" s="155"/>
      <c r="M681" s="155"/>
    </row>
    <row r="682" spans="1:13" x14ac:dyDescent="0.15">
      <c r="A682" s="155"/>
      <c r="B682" s="155"/>
      <c r="K682" s="155"/>
      <c r="L682" s="155"/>
      <c r="M682" s="155"/>
    </row>
    <row r="683" spans="1:13" x14ac:dyDescent="0.15">
      <c r="A683" s="155"/>
      <c r="B683" s="155"/>
      <c r="K683" s="155"/>
      <c r="L683" s="155"/>
      <c r="M683" s="155"/>
    </row>
    <row r="684" spans="1:13" x14ac:dyDescent="0.15">
      <c r="A684" s="155"/>
      <c r="B684" s="155"/>
      <c r="K684" s="155"/>
      <c r="L684" s="155"/>
      <c r="M684" s="155"/>
    </row>
    <row r="685" spans="1:13" x14ac:dyDescent="0.15">
      <c r="A685" s="155"/>
      <c r="B685" s="155"/>
      <c r="K685" s="155"/>
      <c r="L685" s="155"/>
      <c r="M685" s="155"/>
    </row>
    <row r="686" spans="1:13" x14ac:dyDescent="0.15">
      <c r="A686" s="155"/>
      <c r="B686" s="155"/>
      <c r="K686" s="155"/>
      <c r="L686" s="155"/>
      <c r="M686" s="155"/>
    </row>
    <row r="687" spans="1:13" x14ac:dyDescent="0.15">
      <c r="A687" s="155"/>
      <c r="B687" s="155"/>
      <c r="K687" s="155"/>
      <c r="L687" s="155"/>
      <c r="M687" s="155"/>
    </row>
    <row r="688" spans="1:13" x14ac:dyDescent="0.15">
      <c r="A688" s="155"/>
      <c r="B688" s="155"/>
      <c r="K688" s="155"/>
      <c r="L688" s="155"/>
      <c r="M688" s="155"/>
    </row>
    <row r="689" spans="1:13" x14ac:dyDescent="0.15">
      <c r="A689" s="155"/>
      <c r="B689" s="155"/>
      <c r="K689" s="155"/>
      <c r="L689" s="155"/>
      <c r="M689" s="155"/>
    </row>
    <row r="690" spans="1:13" x14ac:dyDescent="0.15">
      <c r="A690" s="155"/>
      <c r="B690" s="155"/>
      <c r="K690" s="155"/>
      <c r="L690" s="155"/>
      <c r="M690" s="155"/>
    </row>
    <row r="691" spans="1:13" x14ac:dyDescent="0.15">
      <c r="A691" s="155"/>
      <c r="B691" s="155"/>
      <c r="K691" s="155"/>
      <c r="L691" s="155"/>
      <c r="M691" s="155"/>
    </row>
    <row r="692" spans="1:13" x14ac:dyDescent="0.15">
      <c r="A692" s="155"/>
      <c r="B692" s="155"/>
      <c r="K692" s="155"/>
      <c r="L692" s="155"/>
      <c r="M692" s="155"/>
    </row>
    <row r="693" spans="1:13" x14ac:dyDescent="0.15">
      <c r="A693" s="155"/>
      <c r="B693" s="155"/>
      <c r="K693" s="155"/>
      <c r="L693" s="155"/>
      <c r="M693" s="155"/>
    </row>
    <row r="694" spans="1:13" x14ac:dyDescent="0.15">
      <c r="A694" s="155"/>
      <c r="B694" s="155"/>
      <c r="K694" s="155"/>
      <c r="L694" s="155"/>
      <c r="M694" s="155"/>
    </row>
    <row r="695" spans="1:13" x14ac:dyDescent="0.15">
      <c r="A695" s="155"/>
      <c r="B695" s="155"/>
      <c r="K695" s="155"/>
      <c r="L695" s="155"/>
      <c r="M695" s="155"/>
    </row>
    <row r="696" spans="1:13" x14ac:dyDescent="0.15">
      <c r="A696" s="155"/>
      <c r="B696" s="155"/>
      <c r="K696" s="155"/>
      <c r="L696" s="155"/>
      <c r="M696" s="155"/>
    </row>
    <row r="697" spans="1:13" x14ac:dyDescent="0.15">
      <c r="A697" s="155"/>
      <c r="B697" s="155"/>
      <c r="K697" s="155"/>
      <c r="L697" s="155"/>
      <c r="M697" s="155"/>
    </row>
    <row r="698" spans="1:13" x14ac:dyDescent="0.15">
      <c r="A698" s="155"/>
      <c r="B698" s="155"/>
      <c r="K698" s="155"/>
      <c r="L698" s="155"/>
      <c r="M698" s="155"/>
    </row>
    <row r="699" spans="1:13" x14ac:dyDescent="0.15">
      <c r="A699" s="155"/>
      <c r="B699" s="155"/>
      <c r="K699" s="155"/>
      <c r="L699" s="155"/>
      <c r="M699" s="155"/>
    </row>
    <row r="700" spans="1:13" x14ac:dyDescent="0.15">
      <c r="A700" s="155"/>
      <c r="B700" s="155"/>
      <c r="K700" s="155"/>
      <c r="L700" s="155"/>
      <c r="M700" s="155"/>
    </row>
    <row r="701" spans="1:13" x14ac:dyDescent="0.15">
      <c r="A701" s="155"/>
      <c r="B701" s="155"/>
      <c r="K701" s="155"/>
      <c r="L701" s="155"/>
      <c r="M701" s="155"/>
    </row>
    <row r="702" spans="1:13" x14ac:dyDescent="0.15">
      <c r="A702" s="155"/>
      <c r="B702" s="155"/>
      <c r="K702" s="155"/>
      <c r="L702" s="155"/>
      <c r="M702" s="155"/>
    </row>
    <row r="703" spans="1:13" x14ac:dyDescent="0.15">
      <c r="A703" s="155"/>
      <c r="B703" s="155"/>
      <c r="K703" s="155"/>
      <c r="L703" s="155"/>
      <c r="M703" s="155"/>
    </row>
    <row r="704" spans="1:13" x14ac:dyDescent="0.15">
      <c r="A704" s="155"/>
      <c r="B704" s="155"/>
      <c r="K704" s="155"/>
      <c r="L704" s="155"/>
      <c r="M704" s="155"/>
    </row>
    <row r="705" spans="1:13" x14ac:dyDescent="0.15">
      <c r="A705" s="155"/>
      <c r="B705" s="155"/>
      <c r="K705" s="155"/>
      <c r="L705" s="155"/>
      <c r="M705" s="155"/>
    </row>
    <row r="706" spans="1:13" x14ac:dyDescent="0.15">
      <c r="A706" s="155"/>
      <c r="B706" s="155"/>
      <c r="K706" s="155"/>
      <c r="L706" s="155"/>
      <c r="M706" s="155"/>
    </row>
    <row r="707" spans="1:13" x14ac:dyDescent="0.15">
      <c r="A707" s="155"/>
      <c r="B707" s="155"/>
      <c r="K707" s="155"/>
      <c r="L707" s="155"/>
      <c r="M707" s="155"/>
    </row>
    <row r="708" spans="1:13" x14ac:dyDescent="0.15">
      <c r="A708" s="155"/>
      <c r="B708" s="155"/>
      <c r="K708" s="155"/>
      <c r="L708" s="155"/>
      <c r="M708" s="155"/>
    </row>
    <row r="709" spans="1:13" x14ac:dyDescent="0.15">
      <c r="A709" s="155"/>
      <c r="B709" s="155"/>
      <c r="K709" s="155"/>
      <c r="L709" s="155"/>
      <c r="M709" s="155"/>
    </row>
    <row r="710" spans="1:13" x14ac:dyDescent="0.15">
      <c r="A710" s="155"/>
      <c r="B710" s="155"/>
      <c r="K710" s="155"/>
      <c r="L710" s="155"/>
      <c r="M710" s="155"/>
    </row>
    <row r="711" spans="1:13" x14ac:dyDescent="0.15">
      <c r="A711" s="155"/>
      <c r="B711" s="155"/>
      <c r="K711" s="155"/>
      <c r="L711" s="155"/>
      <c r="M711" s="155"/>
    </row>
    <row r="712" spans="1:13" x14ac:dyDescent="0.15">
      <c r="A712" s="155"/>
      <c r="B712" s="155"/>
      <c r="K712" s="155"/>
      <c r="L712" s="155"/>
      <c r="M712" s="155"/>
    </row>
    <row r="713" spans="1:13" x14ac:dyDescent="0.15">
      <c r="A713" s="155"/>
      <c r="B713" s="155"/>
      <c r="K713" s="155"/>
      <c r="L713" s="155"/>
      <c r="M713" s="155"/>
    </row>
    <row r="714" spans="1:13" x14ac:dyDescent="0.15">
      <c r="A714" s="155"/>
      <c r="B714" s="155"/>
      <c r="K714" s="155"/>
      <c r="L714" s="155"/>
      <c r="M714" s="155"/>
    </row>
    <row r="715" spans="1:13" x14ac:dyDescent="0.15">
      <c r="A715" s="155"/>
      <c r="B715" s="155"/>
      <c r="K715" s="155"/>
      <c r="L715" s="155"/>
      <c r="M715" s="155"/>
    </row>
    <row r="716" spans="1:13" x14ac:dyDescent="0.15">
      <c r="A716" s="155"/>
      <c r="B716" s="155"/>
      <c r="K716" s="155"/>
      <c r="L716" s="155"/>
      <c r="M716" s="155"/>
    </row>
    <row r="717" spans="1:13" x14ac:dyDescent="0.15">
      <c r="A717" s="155"/>
      <c r="B717" s="155"/>
      <c r="K717" s="155"/>
      <c r="L717" s="155"/>
      <c r="M717" s="155"/>
    </row>
    <row r="718" spans="1:13" x14ac:dyDescent="0.15">
      <c r="A718" s="155"/>
      <c r="B718" s="155"/>
      <c r="K718" s="155"/>
      <c r="L718" s="155"/>
      <c r="M718" s="155"/>
    </row>
    <row r="719" spans="1:13" x14ac:dyDescent="0.15">
      <c r="A719" s="155"/>
      <c r="B719" s="155"/>
      <c r="K719" s="155"/>
      <c r="L719" s="155"/>
      <c r="M719" s="155"/>
    </row>
    <row r="720" spans="1:13" x14ac:dyDescent="0.15">
      <c r="A720" s="155"/>
      <c r="B720" s="155"/>
      <c r="K720" s="155"/>
      <c r="L720" s="155"/>
      <c r="M720" s="155"/>
    </row>
    <row r="721" spans="1:13" x14ac:dyDescent="0.15">
      <c r="A721" s="155"/>
      <c r="B721" s="155"/>
      <c r="K721" s="155"/>
      <c r="L721" s="155"/>
      <c r="M721" s="155"/>
    </row>
    <row r="722" spans="1:13" x14ac:dyDescent="0.15">
      <c r="A722" s="155"/>
      <c r="B722" s="155"/>
      <c r="K722" s="155"/>
      <c r="L722" s="155"/>
      <c r="M722" s="155"/>
    </row>
    <row r="723" spans="1:13" x14ac:dyDescent="0.15">
      <c r="A723" s="155"/>
      <c r="B723" s="155"/>
      <c r="K723" s="155"/>
      <c r="L723" s="155"/>
      <c r="M723" s="155"/>
    </row>
    <row r="724" spans="1:13" x14ac:dyDescent="0.15">
      <c r="A724" s="155"/>
      <c r="B724" s="155"/>
      <c r="K724" s="155"/>
      <c r="L724" s="155"/>
      <c r="M724" s="155"/>
    </row>
    <row r="725" spans="1:13" x14ac:dyDescent="0.15">
      <c r="A725" s="155"/>
      <c r="B725" s="155"/>
      <c r="K725" s="155"/>
      <c r="L725" s="155"/>
      <c r="M725" s="155"/>
    </row>
    <row r="726" spans="1:13" x14ac:dyDescent="0.15">
      <c r="A726" s="155"/>
      <c r="B726" s="155"/>
      <c r="K726" s="155"/>
      <c r="L726" s="155"/>
      <c r="M726" s="155"/>
    </row>
    <row r="727" spans="1:13" x14ac:dyDescent="0.15">
      <c r="A727" s="155"/>
      <c r="B727" s="155"/>
      <c r="K727" s="155"/>
      <c r="L727" s="155"/>
      <c r="M727" s="155"/>
    </row>
    <row r="728" spans="1:13" x14ac:dyDescent="0.15">
      <c r="A728" s="155"/>
      <c r="B728" s="155"/>
      <c r="K728" s="155"/>
      <c r="L728" s="155"/>
      <c r="M728" s="155"/>
    </row>
    <row r="729" spans="1:13" x14ac:dyDescent="0.15">
      <c r="A729" s="155"/>
      <c r="B729" s="155"/>
      <c r="K729" s="155"/>
      <c r="L729" s="155"/>
      <c r="M729" s="155"/>
    </row>
    <row r="730" spans="1:13" x14ac:dyDescent="0.15">
      <c r="A730" s="155"/>
      <c r="B730" s="155"/>
      <c r="K730" s="155"/>
      <c r="L730" s="155"/>
      <c r="M730" s="155"/>
    </row>
    <row r="731" spans="1:13" x14ac:dyDescent="0.15">
      <c r="A731" s="155"/>
      <c r="B731" s="155"/>
      <c r="K731" s="155"/>
      <c r="L731" s="155"/>
      <c r="M731" s="155"/>
    </row>
    <row r="732" spans="1:13" x14ac:dyDescent="0.15">
      <c r="A732" s="155"/>
      <c r="B732" s="155"/>
      <c r="K732" s="155"/>
      <c r="L732" s="155"/>
      <c r="M732" s="155"/>
    </row>
    <row r="733" spans="1:13" x14ac:dyDescent="0.15">
      <c r="A733" s="155"/>
      <c r="B733" s="155"/>
      <c r="K733" s="155"/>
      <c r="L733" s="155"/>
      <c r="M733" s="155"/>
    </row>
    <row r="734" spans="1:13" x14ac:dyDescent="0.15">
      <c r="A734" s="155"/>
      <c r="B734" s="155"/>
      <c r="K734" s="155"/>
      <c r="L734" s="155"/>
      <c r="M734" s="155"/>
    </row>
    <row r="735" spans="1:13" x14ac:dyDescent="0.15">
      <c r="A735" s="155"/>
      <c r="B735" s="155"/>
      <c r="K735" s="155"/>
      <c r="L735" s="155"/>
      <c r="M735" s="155"/>
    </row>
    <row r="736" spans="1:13" x14ac:dyDescent="0.15">
      <c r="A736" s="155"/>
      <c r="B736" s="155"/>
      <c r="K736" s="155"/>
      <c r="L736" s="155"/>
      <c r="M736" s="155"/>
    </row>
    <row r="737" spans="1:13" x14ac:dyDescent="0.15">
      <c r="A737" s="155"/>
      <c r="B737" s="155"/>
      <c r="K737" s="155"/>
      <c r="L737" s="155"/>
      <c r="M737" s="155"/>
    </row>
    <row r="738" spans="1:13" x14ac:dyDescent="0.15">
      <c r="A738" s="155"/>
      <c r="B738" s="155"/>
      <c r="K738" s="155"/>
      <c r="L738" s="155"/>
      <c r="M738" s="155"/>
    </row>
    <row r="739" spans="1:13" x14ac:dyDescent="0.15">
      <c r="A739" s="155"/>
      <c r="B739" s="155"/>
      <c r="K739" s="155"/>
      <c r="L739" s="155"/>
      <c r="M739" s="155"/>
    </row>
    <row r="740" spans="1:13" x14ac:dyDescent="0.15">
      <c r="A740" s="155"/>
      <c r="B740" s="155"/>
      <c r="K740" s="155"/>
      <c r="L740" s="155"/>
      <c r="M740" s="155"/>
    </row>
    <row r="741" spans="1:13" x14ac:dyDescent="0.15">
      <c r="A741" s="155"/>
      <c r="B741" s="155"/>
      <c r="K741" s="155"/>
      <c r="L741" s="155"/>
      <c r="M741" s="155"/>
    </row>
    <row r="742" spans="1:13" x14ac:dyDescent="0.15">
      <c r="A742" s="155"/>
      <c r="B742" s="155"/>
      <c r="K742" s="155"/>
      <c r="L742" s="155"/>
      <c r="M742" s="155"/>
    </row>
    <row r="743" spans="1:13" x14ac:dyDescent="0.15">
      <c r="A743" s="155"/>
      <c r="B743" s="155"/>
      <c r="K743" s="155"/>
      <c r="L743" s="155"/>
      <c r="M743" s="155"/>
    </row>
    <row r="744" spans="1:13" x14ac:dyDescent="0.15">
      <c r="A744" s="155"/>
      <c r="B744" s="155"/>
      <c r="K744" s="155"/>
      <c r="L744" s="155"/>
      <c r="M744" s="155"/>
    </row>
    <row r="745" spans="1:13" x14ac:dyDescent="0.15">
      <c r="A745" s="155"/>
      <c r="B745" s="155"/>
      <c r="K745" s="155"/>
      <c r="L745" s="155"/>
      <c r="M745" s="155"/>
    </row>
    <row r="746" spans="1:13" x14ac:dyDescent="0.15">
      <c r="A746" s="155"/>
      <c r="B746" s="155"/>
      <c r="K746" s="155"/>
      <c r="L746" s="155"/>
      <c r="M746" s="155"/>
    </row>
    <row r="747" spans="1:13" x14ac:dyDescent="0.15">
      <c r="A747" s="155"/>
      <c r="B747" s="155"/>
      <c r="K747" s="155"/>
      <c r="L747" s="155"/>
      <c r="M747" s="155"/>
    </row>
    <row r="748" spans="1:13" x14ac:dyDescent="0.15">
      <c r="A748" s="155"/>
      <c r="B748" s="155"/>
      <c r="K748" s="155"/>
      <c r="L748" s="155"/>
      <c r="M748" s="155"/>
    </row>
    <row r="749" spans="1:13" x14ac:dyDescent="0.15">
      <c r="A749" s="155"/>
      <c r="B749" s="155"/>
      <c r="K749" s="155"/>
      <c r="L749" s="155"/>
      <c r="M749" s="155"/>
    </row>
    <row r="750" spans="1:13" x14ac:dyDescent="0.15">
      <c r="A750" s="155"/>
      <c r="B750" s="155"/>
      <c r="K750" s="155"/>
      <c r="L750" s="155"/>
      <c r="M750" s="155"/>
    </row>
    <row r="751" spans="1:13" x14ac:dyDescent="0.15">
      <c r="A751" s="155"/>
      <c r="B751" s="155"/>
      <c r="K751" s="155"/>
      <c r="L751" s="155"/>
      <c r="M751" s="155"/>
    </row>
    <row r="752" spans="1:13" x14ac:dyDescent="0.15">
      <c r="A752" s="155"/>
      <c r="B752" s="155"/>
      <c r="K752" s="155"/>
      <c r="L752" s="155"/>
      <c r="M752" s="155"/>
    </row>
    <row r="753" spans="1:13" x14ac:dyDescent="0.15">
      <c r="A753" s="155"/>
      <c r="B753" s="155"/>
      <c r="K753" s="155"/>
      <c r="L753" s="155"/>
      <c r="M753" s="155"/>
    </row>
    <row r="754" spans="1:13" x14ac:dyDescent="0.15">
      <c r="A754" s="155"/>
      <c r="B754" s="155"/>
      <c r="K754" s="155"/>
      <c r="L754" s="155"/>
      <c r="M754" s="155"/>
    </row>
    <row r="755" spans="1:13" x14ac:dyDescent="0.15">
      <c r="A755" s="155"/>
      <c r="B755" s="155"/>
      <c r="K755" s="155"/>
      <c r="L755" s="155"/>
      <c r="M755" s="155"/>
    </row>
    <row r="756" spans="1:13" x14ac:dyDescent="0.15">
      <c r="A756" s="155"/>
      <c r="B756" s="155"/>
      <c r="K756" s="155"/>
      <c r="L756" s="155"/>
      <c r="M756" s="155"/>
    </row>
    <row r="757" spans="1:13" x14ac:dyDescent="0.15">
      <c r="A757" s="155"/>
      <c r="B757" s="155"/>
      <c r="K757" s="155"/>
      <c r="L757" s="155"/>
      <c r="M757" s="155"/>
    </row>
    <row r="758" spans="1:13" x14ac:dyDescent="0.15">
      <c r="A758" s="155"/>
      <c r="B758" s="155"/>
      <c r="K758" s="155"/>
      <c r="L758" s="155"/>
      <c r="M758" s="155"/>
    </row>
    <row r="759" spans="1:13" x14ac:dyDescent="0.15">
      <c r="A759" s="155"/>
      <c r="B759" s="155"/>
      <c r="K759" s="155"/>
      <c r="L759" s="155"/>
      <c r="M759" s="155"/>
    </row>
    <row r="760" spans="1:13" x14ac:dyDescent="0.15">
      <c r="A760" s="155"/>
      <c r="B760" s="155"/>
      <c r="K760" s="155"/>
      <c r="L760" s="155"/>
      <c r="M760" s="155"/>
    </row>
    <row r="761" spans="1:13" x14ac:dyDescent="0.15">
      <c r="A761" s="155"/>
      <c r="B761" s="155"/>
      <c r="K761" s="155"/>
      <c r="L761" s="155"/>
      <c r="M761" s="155"/>
    </row>
    <row r="762" spans="1:13" x14ac:dyDescent="0.15">
      <c r="A762" s="155"/>
      <c r="B762" s="155"/>
      <c r="K762" s="155"/>
      <c r="L762" s="155"/>
      <c r="M762" s="155"/>
    </row>
    <row r="763" spans="1:13" x14ac:dyDescent="0.15">
      <c r="A763" s="155"/>
      <c r="B763" s="155"/>
      <c r="K763" s="155"/>
      <c r="L763" s="155"/>
      <c r="M763" s="155"/>
    </row>
    <row r="764" spans="1:13" x14ac:dyDescent="0.15">
      <c r="A764" s="155"/>
      <c r="B764" s="155"/>
      <c r="K764" s="155"/>
      <c r="L764" s="155"/>
      <c r="M764" s="155"/>
    </row>
    <row r="765" spans="1:13" x14ac:dyDescent="0.15">
      <c r="A765" s="155"/>
      <c r="B765" s="155"/>
      <c r="K765" s="155"/>
      <c r="L765" s="155"/>
      <c r="M765" s="155"/>
    </row>
    <row r="766" spans="1:13" x14ac:dyDescent="0.15">
      <c r="A766" s="155"/>
      <c r="B766" s="155"/>
      <c r="K766" s="155"/>
      <c r="L766" s="155"/>
      <c r="M766" s="155"/>
    </row>
    <row r="767" spans="1:13" x14ac:dyDescent="0.15">
      <c r="A767" s="155"/>
      <c r="B767" s="155"/>
      <c r="K767" s="155"/>
      <c r="L767" s="155"/>
      <c r="M767" s="155"/>
    </row>
    <row r="768" spans="1:13" x14ac:dyDescent="0.15">
      <c r="A768" s="155"/>
      <c r="B768" s="155"/>
      <c r="K768" s="155"/>
      <c r="L768" s="155"/>
      <c r="M768" s="155"/>
    </row>
    <row r="769" spans="1:13" x14ac:dyDescent="0.15">
      <c r="A769" s="155"/>
      <c r="B769" s="155"/>
      <c r="K769" s="155"/>
      <c r="L769" s="155"/>
      <c r="M769" s="155"/>
    </row>
    <row r="770" spans="1:13" x14ac:dyDescent="0.15">
      <c r="A770" s="155"/>
      <c r="B770" s="155"/>
      <c r="K770" s="155"/>
      <c r="L770" s="155"/>
      <c r="M770" s="155"/>
    </row>
    <row r="771" spans="1:13" x14ac:dyDescent="0.15">
      <c r="A771" s="155"/>
      <c r="B771" s="155"/>
      <c r="K771" s="155"/>
      <c r="L771" s="155"/>
      <c r="M771" s="155"/>
    </row>
    <row r="772" spans="1:13" x14ac:dyDescent="0.15">
      <c r="A772" s="155"/>
      <c r="B772" s="155"/>
      <c r="K772" s="155"/>
      <c r="L772" s="155"/>
      <c r="M772" s="155"/>
    </row>
    <row r="773" spans="1:13" x14ac:dyDescent="0.15">
      <c r="A773" s="155"/>
      <c r="B773" s="155"/>
      <c r="K773" s="155"/>
      <c r="L773" s="155"/>
      <c r="M773" s="155"/>
    </row>
    <row r="774" spans="1:13" x14ac:dyDescent="0.15">
      <c r="A774" s="155"/>
      <c r="B774" s="155"/>
      <c r="K774" s="155"/>
      <c r="L774" s="155"/>
      <c r="M774" s="155"/>
    </row>
    <row r="775" spans="1:13" x14ac:dyDescent="0.15">
      <c r="A775" s="155"/>
      <c r="B775" s="155"/>
      <c r="K775" s="155"/>
      <c r="L775" s="155"/>
      <c r="M775" s="155"/>
    </row>
    <row r="776" spans="1:13" x14ac:dyDescent="0.15">
      <c r="A776" s="155"/>
      <c r="B776" s="155"/>
      <c r="K776" s="155"/>
      <c r="L776" s="155"/>
      <c r="M776" s="155"/>
    </row>
    <row r="777" spans="1:13" x14ac:dyDescent="0.15">
      <c r="A777" s="155"/>
      <c r="B777" s="155"/>
      <c r="K777" s="155"/>
      <c r="L777" s="155"/>
      <c r="M777" s="155"/>
    </row>
    <row r="778" spans="1:13" x14ac:dyDescent="0.15">
      <c r="A778" s="155"/>
      <c r="B778" s="155"/>
      <c r="K778" s="155"/>
      <c r="L778" s="155"/>
      <c r="M778" s="155"/>
    </row>
    <row r="779" spans="1:13" x14ac:dyDescent="0.15">
      <c r="A779" s="155"/>
      <c r="B779" s="155"/>
      <c r="K779" s="155"/>
      <c r="L779" s="155"/>
      <c r="M779" s="155"/>
    </row>
    <row r="780" spans="1:13" x14ac:dyDescent="0.15">
      <c r="A780" s="155"/>
      <c r="B780" s="155"/>
      <c r="K780" s="155"/>
      <c r="L780" s="155"/>
      <c r="M780" s="155"/>
    </row>
    <row r="781" spans="1:13" x14ac:dyDescent="0.15">
      <c r="A781" s="155"/>
      <c r="B781" s="155"/>
      <c r="K781" s="155"/>
      <c r="L781" s="155"/>
      <c r="M781" s="155"/>
    </row>
    <row r="782" spans="1:13" x14ac:dyDescent="0.15">
      <c r="A782" s="155"/>
      <c r="B782" s="155"/>
      <c r="K782" s="155"/>
      <c r="L782" s="155"/>
      <c r="M782" s="155"/>
    </row>
    <row r="783" spans="1:13" x14ac:dyDescent="0.15">
      <c r="A783" s="155"/>
      <c r="B783" s="155"/>
      <c r="K783" s="155"/>
      <c r="L783" s="155"/>
      <c r="M783" s="155"/>
    </row>
    <row r="784" spans="1:13" x14ac:dyDescent="0.15">
      <c r="A784" s="155"/>
      <c r="B784" s="155"/>
      <c r="K784" s="155"/>
      <c r="L784" s="155"/>
      <c r="M784" s="155"/>
    </row>
    <row r="785" spans="1:13" x14ac:dyDescent="0.15">
      <c r="A785" s="155"/>
      <c r="B785" s="155"/>
      <c r="K785" s="155"/>
      <c r="L785" s="155"/>
      <c r="M785" s="155"/>
    </row>
    <row r="786" spans="1:13" x14ac:dyDescent="0.15">
      <c r="A786" s="155"/>
      <c r="B786" s="155"/>
      <c r="K786" s="155"/>
      <c r="L786" s="155"/>
      <c r="M786" s="155"/>
    </row>
    <row r="787" spans="1:13" x14ac:dyDescent="0.15">
      <c r="A787" s="155"/>
      <c r="B787" s="155"/>
      <c r="K787" s="155"/>
      <c r="L787" s="155"/>
      <c r="M787" s="155"/>
    </row>
    <row r="788" spans="1:13" x14ac:dyDescent="0.15">
      <c r="A788" s="155"/>
      <c r="B788" s="155"/>
      <c r="K788" s="155"/>
      <c r="L788" s="155"/>
      <c r="M788" s="155"/>
    </row>
    <row r="789" spans="1:13" x14ac:dyDescent="0.15">
      <c r="A789" s="155"/>
      <c r="B789" s="155"/>
      <c r="K789" s="155"/>
      <c r="L789" s="155"/>
      <c r="M789" s="155"/>
    </row>
    <row r="790" spans="1:13" x14ac:dyDescent="0.15">
      <c r="A790" s="155"/>
      <c r="B790" s="155"/>
      <c r="K790" s="155"/>
      <c r="L790" s="155"/>
      <c r="M790" s="155"/>
    </row>
    <row r="791" spans="1:13" x14ac:dyDescent="0.15">
      <c r="A791" s="155"/>
      <c r="B791" s="155"/>
      <c r="K791" s="155"/>
      <c r="L791" s="155"/>
      <c r="M791" s="155"/>
    </row>
    <row r="792" spans="1:13" x14ac:dyDescent="0.15">
      <c r="A792" s="155"/>
      <c r="B792" s="155"/>
      <c r="K792" s="155"/>
      <c r="L792" s="155"/>
      <c r="M792" s="155"/>
    </row>
    <row r="793" spans="1:13" x14ac:dyDescent="0.15">
      <c r="A793" s="155"/>
      <c r="B793" s="155"/>
      <c r="K793" s="155"/>
      <c r="L793" s="155"/>
      <c r="M793" s="155"/>
    </row>
    <row r="794" spans="1:13" x14ac:dyDescent="0.15">
      <c r="A794" s="155"/>
      <c r="B794" s="155"/>
      <c r="K794" s="155"/>
      <c r="L794" s="155"/>
      <c r="M794" s="155"/>
    </row>
    <row r="795" spans="1:13" x14ac:dyDescent="0.15">
      <c r="A795" s="155"/>
      <c r="B795" s="155"/>
      <c r="K795" s="155"/>
      <c r="L795" s="155"/>
      <c r="M795" s="155"/>
    </row>
    <row r="796" spans="1:13" x14ac:dyDescent="0.15">
      <c r="A796" s="155"/>
      <c r="B796" s="155"/>
      <c r="K796" s="155"/>
      <c r="L796" s="155"/>
      <c r="M796" s="155"/>
    </row>
    <row r="797" spans="1:13" x14ac:dyDescent="0.15">
      <c r="A797" s="155"/>
      <c r="B797" s="155"/>
      <c r="K797" s="155"/>
      <c r="L797" s="155"/>
      <c r="M797" s="155"/>
    </row>
    <row r="798" spans="1:13" x14ac:dyDescent="0.15">
      <c r="A798" s="155"/>
      <c r="B798" s="155"/>
      <c r="K798" s="155"/>
      <c r="L798" s="155"/>
      <c r="M798" s="155"/>
    </row>
    <row r="799" spans="1:13" x14ac:dyDescent="0.15">
      <c r="A799" s="155"/>
      <c r="B799" s="155"/>
      <c r="K799" s="155"/>
      <c r="L799" s="155"/>
      <c r="M799" s="155"/>
    </row>
    <row r="800" spans="1:13" x14ac:dyDescent="0.15">
      <c r="A800" s="155"/>
      <c r="B800" s="155"/>
      <c r="K800" s="155"/>
      <c r="L800" s="155"/>
      <c r="M800" s="155"/>
    </row>
    <row r="801" spans="1:13" x14ac:dyDescent="0.15">
      <c r="A801" s="155"/>
      <c r="B801" s="155"/>
      <c r="K801" s="155"/>
      <c r="L801" s="155"/>
      <c r="M801" s="155"/>
    </row>
    <row r="802" spans="1:13" x14ac:dyDescent="0.15">
      <c r="A802" s="155"/>
      <c r="B802" s="155"/>
      <c r="K802" s="155"/>
      <c r="L802" s="155"/>
      <c r="M802" s="155"/>
    </row>
    <row r="803" spans="1:13" x14ac:dyDescent="0.15">
      <c r="A803" s="155"/>
      <c r="B803" s="155"/>
      <c r="K803" s="155"/>
      <c r="L803" s="155"/>
      <c r="M803" s="155"/>
    </row>
    <row r="804" spans="1:13" x14ac:dyDescent="0.15">
      <c r="A804" s="155"/>
      <c r="B804" s="155"/>
      <c r="K804" s="155"/>
      <c r="L804" s="155"/>
      <c r="M804" s="155"/>
    </row>
    <row r="805" spans="1:13" x14ac:dyDescent="0.15">
      <c r="A805" s="155"/>
      <c r="B805" s="155"/>
      <c r="K805" s="155"/>
      <c r="L805" s="155"/>
      <c r="M805" s="155"/>
    </row>
    <row r="806" spans="1:13" x14ac:dyDescent="0.15">
      <c r="A806" s="155"/>
      <c r="B806" s="155"/>
      <c r="K806" s="155"/>
      <c r="L806" s="155"/>
      <c r="M806" s="155"/>
    </row>
    <row r="807" spans="1:13" x14ac:dyDescent="0.15">
      <c r="A807" s="155"/>
      <c r="B807" s="155"/>
      <c r="K807" s="155"/>
      <c r="L807" s="155"/>
      <c r="M807" s="155"/>
    </row>
    <row r="808" spans="1:13" x14ac:dyDescent="0.15">
      <c r="A808" s="155"/>
      <c r="B808" s="155"/>
      <c r="K808" s="155"/>
      <c r="L808" s="155"/>
      <c r="M808" s="155"/>
    </row>
    <row r="809" spans="1:13" x14ac:dyDescent="0.15">
      <c r="A809" s="155"/>
      <c r="B809" s="155"/>
      <c r="K809" s="155"/>
      <c r="L809" s="155"/>
      <c r="M809" s="155"/>
    </row>
    <row r="810" spans="1:13" x14ac:dyDescent="0.15">
      <c r="A810" s="155"/>
      <c r="B810" s="155"/>
      <c r="K810" s="155"/>
      <c r="L810" s="155"/>
      <c r="M810" s="155"/>
    </row>
    <row r="811" spans="1:13" x14ac:dyDescent="0.15">
      <c r="A811" s="155"/>
      <c r="B811" s="155"/>
      <c r="K811" s="155"/>
      <c r="L811" s="155"/>
      <c r="M811" s="155"/>
    </row>
    <row r="812" spans="1:13" x14ac:dyDescent="0.15">
      <c r="A812" s="155"/>
      <c r="B812" s="155"/>
      <c r="K812" s="155"/>
      <c r="L812" s="155"/>
      <c r="M812" s="155"/>
    </row>
    <row r="813" spans="1:13" x14ac:dyDescent="0.15">
      <c r="A813" s="155"/>
      <c r="B813" s="155"/>
      <c r="K813" s="155"/>
      <c r="L813" s="155"/>
      <c r="M813" s="155"/>
    </row>
    <row r="814" spans="1:13" x14ac:dyDescent="0.15">
      <c r="A814" s="155"/>
      <c r="B814" s="155"/>
      <c r="K814" s="155"/>
      <c r="L814" s="155"/>
      <c r="M814" s="155"/>
    </row>
    <row r="815" spans="1:13" x14ac:dyDescent="0.15">
      <c r="A815" s="155"/>
      <c r="B815" s="155"/>
      <c r="K815" s="155"/>
      <c r="L815" s="155"/>
      <c r="M815" s="155"/>
    </row>
    <row r="816" spans="1:13" x14ac:dyDescent="0.15">
      <c r="A816" s="155"/>
      <c r="B816" s="155"/>
      <c r="K816" s="155"/>
      <c r="L816" s="155"/>
      <c r="M816" s="155"/>
    </row>
    <row r="817" spans="1:13" x14ac:dyDescent="0.15">
      <c r="A817" s="155"/>
      <c r="B817" s="155"/>
      <c r="K817" s="155"/>
      <c r="L817" s="155"/>
      <c r="M817" s="155"/>
    </row>
    <row r="818" spans="1:13" x14ac:dyDescent="0.15">
      <c r="A818" s="155"/>
      <c r="B818" s="155"/>
      <c r="K818" s="155"/>
      <c r="L818" s="155"/>
      <c r="M818" s="155"/>
    </row>
    <row r="819" spans="1:13" x14ac:dyDescent="0.15">
      <c r="A819" s="155"/>
      <c r="B819" s="155"/>
      <c r="K819" s="155"/>
      <c r="L819" s="155"/>
      <c r="M819" s="155"/>
    </row>
    <row r="820" spans="1:13" x14ac:dyDescent="0.15">
      <c r="A820" s="155"/>
      <c r="B820" s="155"/>
      <c r="K820" s="155"/>
      <c r="L820" s="155"/>
      <c r="M820" s="155"/>
    </row>
    <row r="821" spans="1:13" x14ac:dyDescent="0.15">
      <c r="A821" s="155"/>
      <c r="B821" s="155"/>
      <c r="K821" s="155"/>
      <c r="L821" s="155"/>
      <c r="M821" s="155"/>
    </row>
    <row r="822" spans="1:13" x14ac:dyDescent="0.15">
      <c r="A822" s="155"/>
      <c r="B822" s="155"/>
      <c r="K822" s="155"/>
      <c r="L822" s="155"/>
      <c r="M822" s="155"/>
    </row>
    <row r="823" spans="1:13" x14ac:dyDescent="0.15">
      <c r="A823" s="155"/>
      <c r="B823" s="155"/>
      <c r="K823" s="155"/>
      <c r="L823" s="155"/>
      <c r="M823" s="155"/>
    </row>
    <row r="824" spans="1:13" x14ac:dyDescent="0.15">
      <c r="A824" s="155"/>
      <c r="B824" s="155"/>
      <c r="K824" s="155"/>
      <c r="L824" s="155"/>
      <c r="M824" s="155"/>
    </row>
    <row r="825" spans="1:13" x14ac:dyDescent="0.15">
      <c r="A825" s="155"/>
      <c r="B825" s="155"/>
      <c r="K825" s="155"/>
      <c r="L825" s="155"/>
      <c r="M825" s="155"/>
    </row>
    <row r="826" spans="1:13" x14ac:dyDescent="0.15">
      <c r="A826" s="155"/>
      <c r="B826" s="155"/>
      <c r="K826" s="155"/>
      <c r="L826" s="155"/>
      <c r="M826" s="155"/>
    </row>
    <row r="827" spans="1:13" x14ac:dyDescent="0.15">
      <c r="A827" s="155"/>
      <c r="B827" s="155"/>
      <c r="K827" s="155"/>
      <c r="L827" s="155"/>
      <c r="M827" s="155"/>
    </row>
    <row r="828" spans="1:13" x14ac:dyDescent="0.15">
      <c r="A828" s="155"/>
      <c r="B828" s="155"/>
      <c r="K828" s="155"/>
      <c r="L828" s="155"/>
      <c r="M828" s="155"/>
    </row>
    <row r="829" spans="1:13" x14ac:dyDescent="0.15">
      <c r="A829" s="155"/>
      <c r="B829" s="155"/>
      <c r="K829" s="155"/>
      <c r="L829" s="155"/>
      <c r="M829" s="155"/>
    </row>
    <row r="830" spans="1:13" x14ac:dyDescent="0.15">
      <c r="A830" s="155"/>
      <c r="B830" s="155"/>
      <c r="K830" s="155"/>
      <c r="L830" s="155"/>
      <c r="M830" s="155"/>
    </row>
    <row r="831" spans="1:13" x14ac:dyDescent="0.15">
      <c r="A831" s="155"/>
      <c r="B831" s="155"/>
      <c r="K831" s="155"/>
      <c r="L831" s="155"/>
      <c r="M831" s="155"/>
    </row>
    <row r="832" spans="1:13" x14ac:dyDescent="0.15">
      <c r="A832" s="155"/>
      <c r="B832" s="155"/>
      <c r="K832" s="155"/>
      <c r="L832" s="155"/>
      <c r="M832" s="155"/>
    </row>
    <row r="833" spans="1:13" x14ac:dyDescent="0.15">
      <c r="A833" s="155"/>
      <c r="B833" s="155"/>
      <c r="K833" s="155"/>
      <c r="L833" s="155"/>
      <c r="M833" s="155"/>
    </row>
    <row r="834" spans="1:13" x14ac:dyDescent="0.15">
      <c r="A834" s="155"/>
      <c r="B834" s="155"/>
      <c r="K834" s="155"/>
      <c r="L834" s="155"/>
      <c r="M834" s="155"/>
    </row>
    <row r="835" spans="1:13" x14ac:dyDescent="0.15">
      <c r="A835" s="155"/>
      <c r="B835" s="155"/>
      <c r="K835" s="155"/>
      <c r="L835" s="155"/>
      <c r="M835" s="155"/>
    </row>
    <row r="836" spans="1:13" x14ac:dyDescent="0.15">
      <c r="A836" s="155"/>
      <c r="B836" s="155"/>
      <c r="K836" s="155"/>
      <c r="L836" s="155"/>
      <c r="M836" s="155"/>
    </row>
    <row r="837" spans="1:13" x14ac:dyDescent="0.15">
      <c r="A837" s="155"/>
      <c r="B837" s="155"/>
      <c r="K837" s="155"/>
      <c r="L837" s="155"/>
      <c r="M837" s="155"/>
    </row>
    <row r="838" spans="1:13" x14ac:dyDescent="0.15">
      <c r="A838" s="155"/>
      <c r="B838" s="155"/>
      <c r="K838" s="155"/>
      <c r="L838" s="155"/>
      <c r="M838" s="155"/>
    </row>
    <row r="839" spans="1:13" x14ac:dyDescent="0.15">
      <c r="A839" s="155"/>
      <c r="B839" s="155"/>
      <c r="K839" s="155"/>
      <c r="L839" s="155"/>
      <c r="M839" s="155"/>
    </row>
    <row r="840" spans="1:13" x14ac:dyDescent="0.15">
      <c r="A840" s="155"/>
      <c r="B840" s="155"/>
      <c r="K840" s="155"/>
      <c r="L840" s="155"/>
      <c r="M840" s="155"/>
    </row>
    <row r="841" spans="1:13" x14ac:dyDescent="0.15">
      <c r="A841" s="155"/>
      <c r="B841" s="155"/>
      <c r="K841" s="155"/>
      <c r="L841" s="155"/>
      <c r="M841" s="155"/>
    </row>
    <row r="842" spans="1:13" x14ac:dyDescent="0.15">
      <c r="A842" s="155"/>
      <c r="B842" s="155"/>
      <c r="K842" s="155"/>
      <c r="L842" s="155"/>
      <c r="M842" s="155"/>
    </row>
    <row r="843" spans="1:13" x14ac:dyDescent="0.15">
      <c r="A843" s="155"/>
      <c r="B843" s="155"/>
      <c r="K843" s="155"/>
      <c r="L843" s="155"/>
      <c r="M843" s="155"/>
    </row>
    <row r="844" spans="1:13" x14ac:dyDescent="0.15">
      <c r="A844" s="155"/>
      <c r="B844" s="155"/>
      <c r="K844" s="155"/>
      <c r="L844" s="155"/>
      <c r="M844" s="155"/>
    </row>
    <row r="845" spans="1:13" x14ac:dyDescent="0.15">
      <c r="A845" s="155"/>
      <c r="B845" s="155"/>
      <c r="K845" s="155"/>
      <c r="L845" s="155"/>
      <c r="M845" s="155"/>
    </row>
    <row r="846" spans="1:13" x14ac:dyDescent="0.15">
      <c r="A846" s="155"/>
      <c r="B846" s="155"/>
      <c r="K846" s="155"/>
      <c r="L846" s="155"/>
      <c r="M846" s="155"/>
    </row>
    <row r="847" spans="1:13" x14ac:dyDescent="0.15">
      <c r="A847" s="155"/>
      <c r="B847" s="155"/>
      <c r="K847" s="155"/>
      <c r="L847" s="155"/>
      <c r="M847" s="155"/>
    </row>
    <row r="848" spans="1:13" x14ac:dyDescent="0.15">
      <c r="A848" s="155"/>
      <c r="B848" s="155"/>
      <c r="K848" s="155"/>
      <c r="L848" s="155"/>
      <c r="M848" s="155"/>
    </row>
    <row r="849" spans="1:13" x14ac:dyDescent="0.15">
      <c r="A849" s="155"/>
      <c r="B849" s="155"/>
      <c r="K849" s="155"/>
      <c r="L849" s="155"/>
      <c r="M849" s="155"/>
    </row>
    <row r="850" spans="1:13" x14ac:dyDescent="0.15">
      <c r="A850" s="155"/>
      <c r="B850" s="155"/>
      <c r="K850" s="155"/>
      <c r="L850" s="155"/>
      <c r="M850" s="155"/>
    </row>
    <row r="851" spans="1:13" x14ac:dyDescent="0.15">
      <c r="A851" s="155"/>
      <c r="B851" s="155"/>
      <c r="K851" s="155"/>
      <c r="L851" s="155"/>
      <c r="M851" s="155"/>
    </row>
    <row r="852" spans="1:13" x14ac:dyDescent="0.15">
      <c r="A852" s="155"/>
      <c r="B852" s="155"/>
      <c r="K852" s="155"/>
      <c r="L852" s="155"/>
      <c r="M852" s="155"/>
    </row>
    <row r="853" spans="1:13" x14ac:dyDescent="0.15">
      <c r="A853" s="155"/>
      <c r="B853" s="155"/>
      <c r="K853" s="155"/>
      <c r="L853" s="155"/>
      <c r="M853" s="155"/>
    </row>
    <row r="854" spans="1:13" x14ac:dyDescent="0.15">
      <c r="A854" s="155"/>
      <c r="B854" s="155"/>
      <c r="K854" s="155"/>
      <c r="L854" s="155"/>
      <c r="M854" s="155"/>
    </row>
    <row r="855" spans="1:13" x14ac:dyDescent="0.15">
      <c r="A855" s="155"/>
      <c r="B855" s="155"/>
      <c r="K855" s="155"/>
      <c r="L855" s="155"/>
      <c r="M855" s="155"/>
    </row>
    <row r="856" spans="1:13" x14ac:dyDescent="0.15">
      <c r="A856" s="155"/>
      <c r="B856" s="155"/>
      <c r="K856" s="155"/>
      <c r="L856" s="155"/>
      <c r="M856" s="155"/>
    </row>
    <row r="857" spans="1:13" x14ac:dyDescent="0.15">
      <c r="A857" s="155"/>
      <c r="B857" s="155"/>
      <c r="K857" s="155"/>
      <c r="L857" s="155"/>
      <c r="M857" s="155"/>
    </row>
    <row r="858" spans="1:13" x14ac:dyDescent="0.15">
      <c r="A858" s="155"/>
      <c r="B858" s="155"/>
      <c r="K858" s="155"/>
      <c r="L858" s="155"/>
      <c r="M858" s="155"/>
    </row>
    <row r="859" spans="1:13" x14ac:dyDescent="0.15">
      <c r="A859" s="155"/>
      <c r="B859" s="155"/>
      <c r="K859" s="155"/>
      <c r="L859" s="155"/>
      <c r="M859" s="155"/>
    </row>
    <row r="860" spans="1:13" x14ac:dyDescent="0.15">
      <c r="A860" s="155"/>
      <c r="B860" s="155"/>
      <c r="K860" s="155"/>
      <c r="L860" s="155"/>
      <c r="M860" s="155"/>
    </row>
    <row r="861" spans="1:13" x14ac:dyDescent="0.15">
      <c r="A861" s="155"/>
      <c r="B861" s="155"/>
      <c r="K861" s="155"/>
      <c r="L861" s="155"/>
      <c r="M861" s="155"/>
    </row>
    <row r="862" spans="1:13" x14ac:dyDescent="0.15">
      <c r="A862" s="155"/>
      <c r="B862" s="155"/>
      <c r="K862" s="155"/>
      <c r="L862" s="155"/>
      <c r="M862" s="155"/>
    </row>
    <row r="863" spans="1:13" x14ac:dyDescent="0.15">
      <c r="A863" s="155"/>
      <c r="B863" s="155"/>
      <c r="K863" s="155"/>
      <c r="L863" s="155"/>
      <c r="M863" s="155"/>
    </row>
    <row r="864" spans="1:13" x14ac:dyDescent="0.15">
      <c r="A864" s="155"/>
      <c r="B864" s="155"/>
      <c r="K864" s="155"/>
      <c r="L864" s="155"/>
      <c r="M864" s="155"/>
    </row>
    <row r="865" spans="1:13" x14ac:dyDescent="0.15">
      <c r="A865" s="155"/>
      <c r="B865" s="155"/>
      <c r="K865" s="155"/>
      <c r="L865" s="155"/>
      <c r="M865" s="155"/>
    </row>
    <row r="866" spans="1:13" x14ac:dyDescent="0.15">
      <c r="A866" s="155"/>
      <c r="B866" s="155"/>
      <c r="K866" s="155"/>
      <c r="L866" s="155"/>
      <c r="M866" s="155"/>
    </row>
    <row r="867" spans="1:13" x14ac:dyDescent="0.15">
      <c r="A867" s="155"/>
      <c r="B867" s="155"/>
      <c r="K867" s="155"/>
      <c r="L867" s="155"/>
      <c r="M867" s="155"/>
    </row>
    <row r="868" spans="1:13" x14ac:dyDescent="0.15">
      <c r="A868" s="155"/>
      <c r="B868" s="155"/>
      <c r="K868" s="155"/>
      <c r="L868" s="155"/>
      <c r="M868" s="155"/>
    </row>
    <row r="869" spans="1:13" x14ac:dyDescent="0.15">
      <c r="A869" s="155"/>
      <c r="B869" s="155"/>
      <c r="K869" s="155"/>
      <c r="L869" s="155"/>
      <c r="M869" s="155"/>
    </row>
    <row r="870" spans="1:13" x14ac:dyDescent="0.15">
      <c r="A870" s="155"/>
      <c r="B870" s="155"/>
      <c r="K870" s="155"/>
      <c r="L870" s="155"/>
      <c r="M870" s="155"/>
    </row>
    <row r="871" spans="1:13" x14ac:dyDescent="0.15">
      <c r="A871" s="155"/>
      <c r="B871" s="155"/>
      <c r="K871" s="155"/>
      <c r="L871" s="155"/>
      <c r="M871" s="155"/>
    </row>
    <row r="872" spans="1:13" x14ac:dyDescent="0.15">
      <c r="A872" s="155"/>
      <c r="B872" s="155"/>
      <c r="K872" s="155"/>
      <c r="L872" s="155"/>
      <c r="M872" s="155"/>
    </row>
    <row r="873" spans="1:13" x14ac:dyDescent="0.15">
      <c r="A873" s="155"/>
      <c r="B873" s="155"/>
      <c r="K873" s="155"/>
      <c r="L873" s="155"/>
      <c r="M873" s="155"/>
    </row>
    <row r="874" spans="1:13" x14ac:dyDescent="0.15">
      <c r="A874" s="155"/>
      <c r="B874" s="155"/>
      <c r="K874" s="155"/>
      <c r="L874" s="155"/>
      <c r="M874" s="155"/>
    </row>
    <row r="875" spans="1:13" x14ac:dyDescent="0.15">
      <c r="A875" s="155"/>
      <c r="B875" s="155"/>
      <c r="K875" s="155"/>
      <c r="L875" s="155"/>
      <c r="M875" s="155"/>
    </row>
    <row r="876" spans="1:13" x14ac:dyDescent="0.15">
      <c r="A876" s="155"/>
      <c r="B876" s="155"/>
      <c r="K876" s="155"/>
      <c r="L876" s="155"/>
      <c r="M876" s="155"/>
    </row>
    <row r="877" spans="1:13" x14ac:dyDescent="0.15">
      <c r="A877" s="155"/>
      <c r="B877" s="155"/>
      <c r="K877" s="155"/>
      <c r="L877" s="155"/>
      <c r="M877" s="155"/>
    </row>
    <row r="878" spans="1:13" x14ac:dyDescent="0.15">
      <c r="A878" s="155"/>
      <c r="B878" s="155"/>
      <c r="K878" s="155"/>
      <c r="L878" s="155"/>
      <c r="M878" s="155"/>
    </row>
    <row r="879" spans="1:13" x14ac:dyDescent="0.15">
      <c r="A879" s="155"/>
      <c r="B879" s="155"/>
      <c r="K879" s="155"/>
      <c r="L879" s="155"/>
      <c r="M879" s="155"/>
    </row>
    <row r="880" spans="1:13" x14ac:dyDescent="0.15">
      <c r="A880" s="155"/>
      <c r="B880" s="155"/>
      <c r="K880" s="155"/>
      <c r="L880" s="155"/>
      <c r="M880" s="155"/>
    </row>
    <row r="881" spans="1:13" x14ac:dyDescent="0.15">
      <c r="A881" s="155"/>
      <c r="B881" s="155"/>
      <c r="K881" s="155"/>
      <c r="L881" s="155"/>
      <c r="M881" s="155"/>
    </row>
    <row r="882" spans="1:13" x14ac:dyDescent="0.15">
      <c r="A882" s="155"/>
      <c r="B882" s="155"/>
      <c r="K882" s="155"/>
      <c r="L882" s="155"/>
      <c r="M882" s="155"/>
    </row>
    <row r="883" spans="1:13" x14ac:dyDescent="0.15">
      <c r="A883" s="155"/>
      <c r="B883" s="155"/>
      <c r="K883" s="155"/>
      <c r="L883" s="155"/>
      <c r="M883" s="155"/>
    </row>
    <row r="884" spans="1:13" x14ac:dyDescent="0.15">
      <c r="A884" s="155"/>
      <c r="B884" s="155"/>
      <c r="K884" s="155"/>
      <c r="L884" s="155"/>
      <c r="M884" s="155"/>
    </row>
    <row r="885" spans="1:13" x14ac:dyDescent="0.15">
      <c r="A885" s="155"/>
      <c r="B885" s="155"/>
      <c r="K885" s="155"/>
      <c r="L885" s="155"/>
      <c r="M885" s="155"/>
    </row>
    <row r="886" spans="1:13" x14ac:dyDescent="0.15">
      <c r="A886" s="155"/>
      <c r="B886" s="155"/>
      <c r="K886" s="155"/>
      <c r="L886" s="155"/>
      <c r="M886" s="155"/>
    </row>
    <row r="887" spans="1:13" x14ac:dyDescent="0.15">
      <c r="A887" s="155"/>
      <c r="B887" s="155"/>
      <c r="K887" s="155"/>
      <c r="L887" s="155"/>
      <c r="M887" s="155"/>
    </row>
    <row r="888" spans="1:13" x14ac:dyDescent="0.15">
      <c r="A888" s="155"/>
      <c r="B888" s="155"/>
      <c r="K888" s="155"/>
      <c r="L888" s="155"/>
      <c r="M888" s="155"/>
    </row>
    <row r="889" spans="1:13" x14ac:dyDescent="0.15">
      <c r="A889" s="155"/>
      <c r="B889" s="155"/>
      <c r="K889" s="155"/>
      <c r="L889" s="155"/>
      <c r="M889" s="155"/>
    </row>
    <row r="890" spans="1:13" x14ac:dyDescent="0.15">
      <c r="A890" s="155"/>
      <c r="B890" s="155"/>
      <c r="K890" s="155"/>
      <c r="L890" s="155"/>
      <c r="M890" s="155"/>
    </row>
    <row r="891" spans="1:13" x14ac:dyDescent="0.15">
      <c r="A891" s="155"/>
      <c r="B891" s="155"/>
      <c r="K891" s="155"/>
      <c r="L891" s="155"/>
      <c r="M891" s="155"/>
    </row>
    <row r="892" spans="1:13" x14ac:dyDescent="0.15">
      <c r="A892" s="155"/>
      <c r="B892" s="155"/>
      <c r="K892" s="155"/>
      <c r="L892" s="155"/>
      <c r="M892" s="155"/>
    </row>
    <row r="893" spans="1:13" x14ac:dyDescent="0.15">
      <c r="A893" s="155"/>
      <c r="B893" s="155"/>
      <c r="K893" s="155"/>
      <c r="L893" s="155"/>
      <c r="M893" s="155"/>
    </row>
    <row r="894" spans="1:13" x14ac:dyDescent="0.15">
      <c r="A894" s="155"/>
      <c r="B894" s="155"/>
      <c r="K894" s="155"/>
      <c r="L894" s="155"/>
      <c r="M894" s="155"/>
    </row>
    <row r="895" spans="1:13" x14ac:dyDescent="0.15">
      <c r="A895" s="155"/>
      <c r="B895" s="155"/>
      <c r="K895" s="155"/>
      <c r="L895" s="155"/>
      <c r="M895" s="155"/>
    </row>
    <row r="896" spans="1:13" x14ac:dyDescent="0.15">
      <c r="A896" s="155"/>
      <c r="B896" s="155"/>
      <c r="K896" s="155"/>
      <c r="L896" s="155"/>
      <c r="M896" s="155"/>
    </row>
    <row r="897" spans="1:13" x14ac:dyDescent="0.15">
      <c r="A897" s="155"/>
      <c r="B897" s="155"/>
      <c r="K897" s="155"/>
      <c r="L897" s="155"/>
      <c r="M897" s="155"/>
    </row>
    <row r="898" spans="1:13" x14ac:dyDescent="0.15">
      <c r="A898" s="155"/>
      <c r="B898" s="155"/>
      <c r="K898" s="155"/>
      <c r="L898" s="155"/>
      <c r="M898" s="155"/>
    </row>
    <row r="899" spans="1:13" x14ac:dyDescent="0.15">
      <c r="A899" s="155"/>
      <c r="B899" s="155"/>
      <c r="K899" s="155"/>
      <c r="L899" s="155"/>
      <c r="M899" s="155"/>
    </row>
    <row r="900" spans="1:13" x14ac:dyDescent="0.15">
      <c r="A900" s="155"/>
      <c r="B900" s="155"/>
      <c r="K900" s="155"/>
      <c r="L900" s="155"/>
      <c r="M900" s="155"/>
    </row>
    <row r="901" spans="1:13" x14ac:dyDescent="0.15">
      <c r="A901" s="155"/>
      <c r="B901" s="155"/>
      <c r="K901" s="155"/>
      <c r="L901" s="155"/>
      <c r="M901" s="155"/>
    </row>
    <row r="902" spans="1:13" x14ac:dyDescent="0.15">
      <c r="A902" s="155"/>
      <c r="B902" s="155"/>
      <c r="K902" s="155"/>
      <c r="L902" s="155"/>
      <c r="M902" s="155"/>
    </row>
    <row r="903" spans="1:13" x14ac:dyDescent="0.15">
      <c r="A903" s="155"/>
      <c r="B903" s="155"/>
      <c r="K903" s="155"/>
      <c r="L903" s="155"/>
      <c r="M903" s="155"/>
    </row>
    <row r="904" spans="1:13" x14ac:dyDescent="0.15">
      <c r="A904" s="155"/>
      <c r="B904" s="155"/>
      <c r="K904" s="155"/>
      <c r="L904" s="155"/>
      <c r="M904" s="155"/>
    </row>
    <row r="905" spans="1:13" x14ac:dyDescent="0.15">
      <c r="A905" s="155"/>
      <c r="B905" s="155"/>
      <c r="K905" s="155"/>
      <c r="L905" s="155"/>
      <c r="M905" s="155"/>
    </row>
    <row r="906" spans="1:13" x14ac:dyDescent="0.15">
      <c r="A906" s="155"/>
      <c r="B906" s="155"/>
      <c r="K906" s="155"/>
      <c r="L906" s="155"/>
      <c r="M906" s="155"/>
    </row>
    <row r="907" spans="1:13" x14ac:dyDescent="0.15">
      <c r="A907" s="155"/>
      <c r="B907" s="155"/>
      <c r="K907" s="155"/>
      <c r="L907" s="155"/>
      <c r="M907" s="155"/>
    </row>
    <row r="908" spans="1:13" x14ac:dyDescent="0.15">
      <c r="A908" s="155"/>
      <c r="B908" s="155"/>
      <c r="K908" s="155"/>
      <c r="L908" s="155"/>
      <c r="M908" s="155"/>
    </row>
    <row r="909" spans="1:13" x14ac:dyDescent="0.15">
      <c r="A909" s="155"/>
      <c r="B909" s="155"/>
      <c r="K909" s="155"/>
      <c r="L909" s="155"/>
      <c r="M909" s="155"/>
    </row>
    <row r="910" spans="1:13" x14ac:dyDescent="0.15">
      <c r="A910" s="155"/>
      <c r="B910" s="155"/>
      <c r="K910" s="155"/>
      <c r="L910" s="155"/>
      <c r="M910" s="155"/>
    </row>
    <row r="911" spans="1:13" x14ac:dyDescent="0.15">
      <c r="A911" s="155"/>
      <c r="B911" s="155"/>
      <c r="K911" s="155"/>
      <c r="L911" s="155"/>
      <c r="M911" s="155"/>
    </row>
    <row r="912" spans="1:13" x14ac:dyDescent="0.15">
      <c r="A912" s="155"/>
      <c r="B912" s="155"/>
      <c r="K912" s="155"/>
      <c r="L912" s="155"/>
      <c r="M912" s="155"/>
    </row>
    <row r="913" spans="1:13" x14ac:dyDescent="0.15">
      <c r="A913" s="155"/>
      <c r="B913" s="155"/>
      <c r="K913" s="155"/>
      <c r="L913" s="155"/>
      <c r="M913" s="155"/>
    </row>
    <row r="914" spans="1:13" x14ac:dyDescent="0.15">
      <c r="A914" s="155"/>
      <c r="B914" s="155"/>
      <c r="K914" s="155"/>
      <c r="L914" s="155"/>
      <c r="M914" s="155"/>
    </row>
    <row r="915" spans="1:13" x14ac:dyDescent="0.15">
      <c r="A915" s="155"/>
      <c r="B915" s="155"/>
      <c r="K915" s="155"/>
      <c r="L915" s="155"/>
      <c r="M915" s="155"/>
    </row>
    <row r="916" spans="1:13" x14ac:dyDescent="0.15">
      <c r="A916" s="155"/>
      <c r="B916" s="155"/>
      <c r="K916" s="155"/>
      <c r="L916" s="155"/>
      <c r="M916" s="155"/>
    </row>
    <row r="917" spans="1:13" x14ac:dyDescent="0.15">
      <c r="A917" s="155"/>
      <c r="B917" s="155"/>
      <c r="K917" s="155"/>
      <c r="L917" s="155"/>
      <c r="M917" s="155"/>
    </row>
    <row r="918" spans="1:13" x14ac:dyDescent="0.15">
      <c r="A918" s="155"/>
      <c r="B918" s="155"/>
      <c r="K918" s="155"/>
      <c r="L918" s="155"/>
      <c r="M918" s="155"/>
    </row>
    <row r="919" spans="1:13" x14ac:dyDescent="0.15">
      <c r="A919" s="155"/>
      <c r="B919" s="155"/>
      <c r="K919" s="155"/>
      <c r="L919" s="155"/>
      <c r="M919" s="155"/>
    </row>
    <row r="920" spans="1:13" x14ac:dyDescent="0.15">
      <c r="A920" s="155"/>
      <c r="B920" s="155"/>
      <c r="K920" s="155"/>
      <c r="L920" s="155"/>
      <c r="M920" s="155"/>
    </row>
    <row r="921" spans="1:13" x14ac:dyDescent="0.15">
      <c r="A921" s="155"/>
      <c r="B921" s="155"/>
      <c r="K921" s="155"/>
      <c r="L921" s="155"/>
      <c r="M921" s="155"/>
    </row>
    <row r="922" spans="1:13" x14ac:dyDescent="0.15">
      <c r="A922" s="155"/>
      <c r="B922" s="155"/>
      <c r="K922" s="155"/>
      <c r="L922" s="155"/>
      <c r="M922" s="155"/>
    </row>
    <row r="923" spans="1:13" x14ac:dyDescent="0.15">
      <c r="A923" s="155"/>
      <c r="B923" s="155"/>
      <c r="K923" s="155"/>
      <c r="L923" s="155"/>
      <c r="M923" s="155"/>
    </row>
    <row r="924" spans="1:13" x14ac:dyDescent="0.15">
      <c r="A924" s="155"/>
      <c r="B924" s="155"/>
      <c r="K924" s="155"/>
      <c r="L924" s="155"/>
      <c r="M924" s="155"/>
    </row>
    <row r="925" spans="1:13" x14ac:dyDescent="0.15">
      <c r="A925" s="155"/>
      <c r="B925" s="155"/>
      <c r="K925" s="155"/>
      <c r="L925" s="155"/>
      <c r="M925" s="155"/>
    </row>
    <row r="926" spans="1:13" x14ac:dyDescent="0.15">
      <c r="A926" s="155"/>
      <c r="B926" s="155"/>
      <c r="K926" s="155"/>
      <c r="L926" s="155"/>
      <c r="M926" s="155"/>
    </row>
    <row r="927" spans="1:13" x14ac:dyDescent="0.15">
      <c r="A927" s="155"/>
      <c r="B927" s="155"/>
      <c r="K927" s="155"/>
      <c r="L927" s="155"/>
      <c r="M927" s="155"/>
    </row>
    <row r="928" spans="1:13" x14ac:dyDescent="0.15">
      <c r="A928" s="155"/>
      <c r="B928" s="155"/>
      <c r="K928" s="155"/>
      <c r="L928" s="155"/>
      <c r="M928" s="155"/>
    </row>
    <row r="929" spans="1:13" x14ac:dyDescent="0.15">
      <c r="A929" s="155"/>
      <c r="B929" s="155"/>
      <c r="K929" s="155"/>
      <c r="L929" s="155"/>
      <c r="M929" s="155"/>
    </row>
    <row r="930" spans="1:13" x14ac:dyDescent="0.15">
      <c r="A930" s="155"/>
      <c r="B930" s="155"/>
      <c r="K930" s="155"/>
      <c r="L930" s="155"/>
      <c r="M930" s="155"/>
    </row>
    <row r="931" spans="1:13" x14ac:dyDescent="0.15">
      <c r="A931" s="155"/>
      <c r="B931" s="155"/>
      <c r="K931" s="155"/>
      <c r="L931" s="155"/>
      <c r="M931" s="155"/>
    </row>
    <row r="932" spans="1:13" x14ac:dyDescent="0.15">
      <c r="A932" s="155"/>
      <c r="B932" s="155"/>
      <c r="K932" s="155"/>
      <c r="L932" s="155"/>
      <c r="M932" s="155"/>
    </row>
    <row r="933" spans="1:13" x14ac:dyDescent="0.15">
      <c r="A933" s="155"/>
      <c r="B933" s="155"/>
      <c r="K933" s="155"/>
      <c r="L933" s="155"/>
      <c r="M933" s="155"/>
    </row>
    <row r="934" spans="1:13" x14ac:dyDescent="0.15">
      <c r="A934" s="155"/>
      <c r="B934" s="155"/>
      <c r="K934" s="155"/>
      <c r="L934" s="155"/>
      <c r="M934" s="155"/>
    </row>
    <row r="935" spans="1:13" x14ac:dyDescent="0.15">
      <c r="A935" s="155"/>
      <c r="B935" s="155"/>
      <c r="K935" s="155"/>
      <c r="L935" s="155"/>
      <c r="M935" s="155"/>
    </row>
    <row r="936" spans="1:13" x14ac:dyDescent="0.15">
      <c r="A936" s="155"/>
      <c r="B936" s="155"/>
      <c r="K936" s="155"/>
      <c r="L936" s="155"/>
      <c r="M936" s="155"/>
    </row>
    <row r="937" spans="1:13" x14ac:dyDescent="0.15">
      <c r="A937" s="155"/>
      <c r="B937" s="155"/>
      <c r="K937" s="155"/>
      <c r="L937" s="155"/>
      <c r="M937" s="155"/>
    </row>
    <row r="938" spans="1:13" x14ac:dyDescent="0.15">
      <c r="A938" s="155"/>
      <c r="B938" s="155"/>
      <c r="K938" s="155"/>
      <c r="L938" s="155"/>
      <c r="M938" s="155"/>
    </row>
    <row r="939" spans="1:13" x14ac:dyDescent="0.15">
      <c r="A939" s="155"/>
      <c r="B939" s="155"/>
      <c r="K939" s="155"/>
      <c r="L939" s="155"/>
      <c r="M939" s="155"/>
    </row>
    <row r="940" spans="1:13" x14ac:dyDescent="0.15">
      <c r="A940" s="155"/>
      <c r="B940" s="155"/>
      <c r="K940" s="155"/>
      <c r="L940" s="155"/>
      <c r="M940" s="155"/>
    </row>
    <row r="941" spans="1:13" x14ac:dyDescent="0.15">
      <c r="A941" s="155"/>
      <c r="B941" s="155"/>
      <c r="K941" s="155"/>
      <c r="L941" s="155"/>
      <c r="M941" s="155"/>
    </row>
    <row r="942" spans="1:13" x14ac:dyDescent="0.15">
      <c r="A942" s="155"/>
      <c r="B942" s="155"/>
      <c r="K942" s="155"/>
      <c r="L942" s="155"/>
      <c r="M942" s="155"/>
    </row>
    <row r="943" spans="1:13" x14ac:dyDescent="0.15">
      <c r="A943" s="155"/>
      <c r="B943" s="155"/>
      <c r="K943" s="155"/>
      <c r="L943" s="155"/>
      <c r="M943" s="155"/>
    </row>
    <row r="944" spans="1:13" x14ac:dyDescent="0.15">
      <c r="A944" s="155"/>
      <c r="B944" s="155"/>
      <c r="K944" s="155"/>
      <c r="L944" s="155"/>
      <c r="M944" s="155"/>
    </row>
    <row r="945" spans="1:13" x14ac:dyDescent="0.15">
      <c r="A945" s="155"/>
      <c r="B945" s="155"/>
      <c r="K945" s="155"/>
      <c r="L945" s="155"/>
      <c r="M945" s="155"/>
    </row>
    <row r="946" spans="1:13" x14ac:dyDescent="0.15">
      <c r="A946" s="155"/>
      <c r="B946" s="155"/>
      <c r="K946" s="155"/>
      <c r="L946" s="155"/>
      <c r="M946" s="155"/>
    </row>
    <row r="947" spans="1:13" x14ac:dyDescent="0.15">
      <c r="A947" s="155"/>
      <c r="B947" s="155"/>
      <c r="K947" s="155"/>
      <c r="L947" s="155"/>
      <c r="M947" s="155"/>
    </row>
    <row r="948" spans="1:13" x14ac:dyDescent="0.15">
      <c r="A948" s="155"/>
      <c r="B948" s="155"/>
      <c r="K948" s="155"/>
      <c r="L948" s="155"/>
      <c r="M948" s="155"/>
    </row>
    <row r="949" spans="1:13" x14ac:dyDescent="0.15">
      <c r="A949" s="155"/>
      <c r="B949" s="155"/>
      <c r="K949" s="155"/>
      <c r="L949" s="155"/>
      <c r="M949" s="155"/>
    </row>
    <row r="950" spans="1:13" x14ac:dyDescent="0.15">
      <c r="A950" s="155"/>
      <c r="B950" s="155"/>
      <c r="K950" s="155"/>
      <c r="L950" s="155"/>
      <c r="M950" s="155"/>
    </row>
    <row r="951" spans="1:13" x14ac:dyDescent="0.15">
      <c r="A951" s="155"/>
      <c r="B951" s="155"/>
      <c r="K951" s="155"/>
      <c r="L951" s="155"/>
      <c r="M951" s="155"/>
    </row>
    <row r="952" spans="1:13" x14ac:dyDescent="0.15">
      <c r="A952" s="155"/>
      <c r="B952" s="155"/>
      <c r="K952" s="155"/>
      <c r="L952" s="155"/>
      <c r="M952" s="155"/>
    </row>
    <row r="953" spans="1:13" x14ac:dyDescent="0.15">
      <c r="A953" s="155"/>
      <c r="B953" s="155"/>
      <c r="K953" s="155"/>
      <c r="L953" s="155"/>
      <c r="M953" s="155"/>
    </row>
    <row r="954" spans="1:13" x14ac:dyDescent="0.15">
      <c r="A954" s="155"/>
      <c r="B954" s="155"/>
      <c r="K954" s="155"/>
      <c r="L954" s="155"/>
      <c r="M954" s="155"/>
    </row>
    <row r="955" spans="1:13" x14ac:dyDescent="0.15">
      <c r="A955" s="155"/>
      <c r="B955" s="155"/>
      <c r="K955" s="155"/>
      <c r="L955" s="155"/>
      <c r="M955" s="155"/>
    </row>
    <row r="956" spans="1:13" x14ac:dyDescent="0.15">
      <c r="A956" s="155"/>
      <c r="B956" s="155"/>
      <c r="K956" s="155"/>
      <c r="L956" s="155"/>
      <c r="M956" s="155"/>
    </row>
    <row r="957" spans="1:13" x14ac:dyDescent="0.15">
      <c r="A957" s="155"/>
      <c r="B957" s="155"/>
      <c r="K957" s="155"/>
      <c r="L957" s="155"/>
      <c r="M957" s="155"/>
    </row>
    <row r="958" spans="1:13" x14ac:dyDescent="0.15">
      <c r="A958" s="155"/>
      <c r="B958" s="155"/>
      <c r="K958" s="155"/>
      <c r="L958" s="155"/>
      <c r="M958" s="155"/>
    </row>
    <row r="959" spans="1:13" x14ac:dyDescent="0.15">
      <c r="A959" s="155"/>
      <c r="B959" s="155"/>
      <c r="K959" s="155"/>
      <c r="L959" s="155"/>
      <c r="M959" s="155"/>
    </row>
    <row r="960" spans="1:13" x14ac:dyDescent="0.15">
      <c r="A960" s="155"/>
      <c r="B960" s="155"/>
      <c r="K960" s="155"/>
      <c r="L960" s="155"/>
      <c r="M960" s="155"/>
    </row>
    <row r="961" spans="1:13" x14ac:dyDescent="0.15">
      <c r="A961" s="155"/>
      <c r="B961" s="155"/>
      <c r="K961" s="155"/>
      <c r="L961" s="155"/>
      <c r="M961" s="155"/>
    </row>
    <row r="962" spans="1:13" x14ac:dyDescent="0.15">
      <c r="A962" s="155"/>
      <c r="B962" s="155"/>
      <c r="K962" s="155"/>
      <c r="L962" s="155"/>
      <c r="M962" s="155"/>
    </row>
    <row r="963" spans="1:13" x14ac:dyDescent="0.15">
      <c r="A963" s="155"/>
      <c r="B963" s="155"/>
      <c r="K963" s="155"/>
      <c r="L963" s="155"/>
      <c r="M963" s="155"/>
    </row>
    <row r="964" spans="1:13" x14ac:dyDescent="0.15">
      <c r="A964" s="155"/>
      <c r="B964" s="155"/>
      <c r="K964" s="155"/>
      <c r="L964" s="155"/>
      <c r="M964" s="155"/>
    </row>
    <row r="965" spans="1:13" x14ac:dyDescent="0.15">
      <c r="A965" s="155"/>
      <c r="B965" s="155"/>
      <c r="K965" s="155"/>
      <c r="L965" s="155"/>
      <c r="M965" s="155"/>
    </row>
    <row r="966" spans="1:13" x14ac:dyDescent="0.15">
      <c r="A966" s="155"/>
      <c r="B966" s="155"/>
      <c r="K966" s="155"/>
      <c r="L966" s="155"/>
      <c r="M966" s="155"/>
    </row>
    <row r="967" spans="1:13" x14ac:dyDescent="0.15">
      <c r="A967" s="155"/>
      <c r="B967" s="155"/>
      <c r="K967" s="155"/>
      <c r="L967" s="155"/>
      <c r="M967" s="155"/>
    </row>
    <row r="968" spans="1:13" x14ac:dyDescent="0.15">
      <c r="A968" s="155"/>
      <c r="B968" s="155"/>
      <c r="K968" s="155"/>
      <c r="L968" s="155"/>
      <c r="M968" s="155"/>
    </row>
    <row r="969" spans="1:13" x14ac:dyDescent="0.15">
      <c r="A969" s="155"/>
      <c r="B969" s="155"/>
      <c r="K969" s="155"/>
      <c r="L969" s="155"/>
      <c r="M969" s="155"/>
    </row>
    <row r="970" spans="1:13" x14ac:dyDescent="0.15">
      <c r="A970" s="155"/>
      <c r="B970" s="155"/>
      <c r="K970" s="155"/>
      <c r="L970" s="155"/>
      <c r="M970" s="155"/>
    </row>
    <row r="971" spans="1:13" x14ac:dyDescent="0.15">
      <c r="A971" s="155"/>
      <c r="B971" s="155"/>
      <c r="K971" s="155"/>
      <c r="L971" s="155"/>
      <c r="M971" s="155"/>
    </row>
    <row r="972" spans="1:13" x14ac:dyDescent="0.15">
      <c r="A972" s="155"/>
      <c r="B972" s="155"/>
      <c r="K972" s="155"/>
      <c r="L972" s="155"/>
      <c r="M972" s="155"/>
    </row>
    <row r="973" spans="1:13" x14ac:dyDescent="0.15">
      <c r="A973" s="155"/>
      <c r="B973" s="155"/>
      <c r="K973" s="155"/>
      <c r="L973" s="155"/>
      <c r="M973" s="155"/>
    </row>
    <row r="974" spans="1:13" x14ac:dyDescent="0.15">
      <c r="A974" s="155"/>
      <c r="B974" s="155"/>
      <c r="K974" s="155"/>
      <c r="L974" s="155"/>
      <c r="M974" s="155"/>
    </row>
    <row r="975" spans="1:13" x14ac:dyDescent="0.15">
      <c r="A975" s="155"/>
      <c r="B975" s="155"/>
      <c r="K975" s="155"/>
      <c r="L975" s="155"/>
      <c r="M975" s="155"/>
    </row>
    <row r="976" spans="1:13" x14ac:dyDescent="0.15">
      <c r="A976" s="155"/>
      <c r="B976" s="155"/>
      <c r="K976" s="155"/>
      <c r="L976" s="155"/>
      <c r="M976" s="155"/>
    </row>
    <row r="977" spans="1:13" x14ac:dyDescent="0.15">
      <c r="A977" s="155"/>
      <c r="B977" s="155"/>
      <c r="K977" s="155"/>
      <c r="L977" s="155"/>
      <c r="M977" s="155"/>
    </row>
    <row r="978" spans="1:13" x14ac:dyDescent="0.15">
      <c r="A978" s="155"/>
      <c r="B978" s="155"/>
      <c r="K978" s="155"/>
      <c r="L978" s="155"/>
      <c r="M978" s="155"/>
    </row>
    <row r="979" spans="1:13" x14ac:dyDescent="0.15">
      <c r="A979" s="155"/>
      <c r="B979" s="155"/>
      <c r="K979" s="155"/>
      <c r="L979" s="155"/>
      <c r="M979" s="155"/>
    </row>
    <row r="980" spans="1:13" x14ac:dyDescent="0.15">
      <c r="A980" s="155"/>
      <c r="B980" s="155"/>
      <c r="K980" s="155"/>
      <c r="L980" s="155"/>
      <c r="M980" s="155"/>
    </row>
    <row r="981" spans="1:13" x14ac:dyDescent="0.15">
      <c r="A981" s="155"/>
      <c r="B981" s="155"/>
      <c r="K981" s="155"/>
      <c r="L981" s="155"/>
      <c r="M981" s="155"/>
    </row>
    <row r="982" spans="1:13" x14ac:dyDescent="0.15">
      <c r="A982" s="155"/>
      <c r="B982" s="155"/>
      <c r="K982" s="155"/>
      <c r="L982" s="155"/>
      <c r="M982" s="155"/>
    </row>
    <row r="983" spans="1:13" x14ac:dyDescent="0.15">
      <c r="A983" s="155"/>
      <c r="B983" s="155"/>
      <c r="K983" s="155"/>
      <c r="L983" s="155"/>
      <c r="M983" s="155"/>
    </row>
    <row r="984" spans="1:13" x14ac:dyDescent="0.15">
      <c r="A984" s="155"/>
      <c r="B984" s="155"/>
      <c r="K984" s="155"/>
      <c r="L984" s="155"/>
      <c r="M984" s="155"/>
    </row>
    <row r="985" spans="1:13" x14ac:dyDescent="0.15">
      <c r="A985" s="155"/>
      <c r="B985" s="155"/>
      <c r="K985" s="155"/>
      <c r="L985" s="155"/>
      <c r="M985" s="155"/>
    </row>
    <row r="986" spans="1:13" x14ac:dyDescent="0.15">
      <c r="A986" s="155"/>
      <c r="B986" s="155"/>
      <c r="K986" s="155"/>
      <c r="L986" s="155"/>
      <c r="M986" s="155"/>
    </row>
    <row r="987" spans="1:13" x14ac:dyDescent="0.15">
      <c r="A987" s="155"/>
      <c r="B987" s="155"/>
      <c r="K987" s="155"/>
      <c r="L987" s="155"/>
      <c r="M987" s="155"/>
    </row>
    <row r="988" spans="1:13" x14ac:dyDescent="0.15">
      <c r="A988" s="155"/>
      <c r="B988" s="155"/>
      <c r="K988" s="155"/>
      <c r="L988" s="155"/>
      <c r="M988" s="155"/>
    </row>
    <row r="989" spans="1:13" x14ac:dyDescent="0.15">
      <c r="A989" s="155"/>
      <c r="B989" s="155"/>
      <c r="K989" s="155"/>
      <c r="L989" s="155"/>
      <c r="M989" s="155"/>
    </row>
    <row r="990" spans="1:13" x14ac:dyDescent="0.15">
      <c r="A990" s="155"/>
      <c r="B990" s="155"/>
      <c r="K990" s="155"/>
      <c r="L990" s="155"/>
      <c r="M990" s="155"/>
    </row>
    <row r="991" spans="1:13" x14ac:dyDescent="0.15">
      <c r="A991" s="155"/>
      <c r="B991" s="155"/>
      <c r="K991" s="155"/>
      <c r="L991" s="155"/>
      <c r="M991" s="155"/>
    </row>
    <row r="992" spans="1:13" x14ac:dyDescent="0.15">
      <c r="A992" s="155"/>
      <c r="B992" s="155"/>
      <c r="K992" s="155"/>
      <c r="L992" s="155"/>
      <c r="M992" s="155"/>
    </row>
    <row r="993" spans="1:13" x14ac:dyDescent="0.15">
      <c r="A993" s="155"/>
      <c r="B993" s="155"/>
      <c r="K993" s="155"/>
      <c r="L993" s="155"/>
      <c r="M993" s="155"/>
    </row>
    <row r="994" spans="1:13" x14ac:dyDescent="0.15">
      <c r="A994" s="155"/>
      <c r="B994" s="155"/>
      <c r="K994" s="155"/>
      <c r="L994" s="155"/>
      <c r="M994" s="155"/>
    </row>
    <row r="995" spans="1:13" x14ac:dyDescent="0.15">
      <c r="A995" s="155"/>
      <c r="B995" s="155"/>
      <c r="K995" s="155"/>
      <c r="L995" s="155"/>
      <c r="M995" s="155"/>
    </row>
    <row r="996" spans="1:13" x14ac:dyDescent="0.15">
      <c r="A996" s="155"/>
      <c r="B996" s="155"/>
      <c r="K996" s="155"/>
      <c r="L996" s="155"/>
      <c r="M996" s="155"/>
    </row>
    <row r="997" spans="1:13" x14ac:dyDescent="0.15">
      <c r="A997" s="155"/>
      <c r="B997" s="155"/>
      <c r="K997" s="155"/>
      <c r="L997" s="155"/>
      <c r="M997" s="155"/>
    </row>
    <row r="998" spans="1:13" x14ac:dyDescent="0.15">
      <c r="A998" s="155"/>
      <c r="B998" s="155"/>
      <c r="K998" s="155"/>
      <c r="L998" s="155"/>
      <c r="M998" s="155"/>
    </row>
    <row r="999" spans="1:13" x14ac:dyDescent="0.15">
      <c r="A999" s="155"/>
      <c r="B999" s="155"/>
      <c r="K999" s="155"/>
      <c r="L999" s="155"/>
      <c r="M999" s="155"/>
    </row>
    <row r="1000" spans="1:13" x14ac:dyDescent="0.15">
      <c r="A1000" s="155"/>
      <c r="B1000" s="155"/>
      <c r="K1000" s="155"/>
      <c r="L1000" s="155"/>
      <c r="M1000" s="155"/>
    </row>
    <row r="1001" spans="1:13" x14ac:dyDescent="0.15">
      <c r="A1001" s="155"/>
      <c r="B1001" s="155"/>
      <c r="K1001" s="155"/>
      <c r="L1001" s="155"/>
      <c r="M1001" s="155"/>
    </row>
    <row r="1002" spans="1:13" x14ac:dyDescent="0.15">
      <c r="A1002" s="155"/>
      <c r="B1002" s="155"/>
      <c r="K1002" s="155"/>
      <c r="L1002" s="155"/>
      <c r="M1002" s="155"/>
    </row>
    <row r="1003" spans="1:13" x14ac:dyDescent="0.15">
      <c r="A1003" s="155"/>
      <c r="B1003" s="155"/>
      <c r="K1003" s="155"/>
      <c r="L1003" s="155"/>
      <c r="M1003" s="155"/>
    </row>
    <row r="1004" spans="1:13" x14ac:dyDescent="0.15">
      <c r="A1004" s="155"/>
      <c r="B1004" s="155"/>
      <c r="K1004" s="155"/>
      <c r="L1004" s="155"/>
      <c r="M1004" s="155"/>
    </row>
    <row r="1005" spans="1:13" x14ac:dyDescent="0.15">
      <c r="A1005" s="155"/>
      <c r="B1005" s="155"/>
      <c r="K1005" s="155"/>
      <c r="L1005" s="155"/>
      <c r="M1005" s="155"/>
    </row>
    <row r="1006" spans="1:13" x14ac:dyDescent="0.15">
      <c r="A1006" s="155"/>
      <c r="B1006" s="155"/>
      <c r="K1006" s="155"/>
      <c r="L1006" s="155"/>
      <c r="M1006" s="155"/>
    </row>
    <row r="1007" spans="1:13" x14ac:dyDescent="0.15">
      <c r="A1007" s="155"/>
      <c r="B1007" s="155"/>
      <c r="K1007" s="155"/>
      <c r="L1007" s="155"/>
      <c r="M1007" s="155"/>
    </row>
    <row r="1008" spans="1:13" x14ac:dyDescent="0.15">
      <c r="A1008" s="155"/>
      <c r="B1008" s="155"/>
      <c r="K1008" s="155"/>
      <c r="L1008" s="155"/>
      <c r="M1008" s="155"/>
    </row>
    <row r="1009" spans="1:13" x14ac:dyDescent="0.15">
      <c r="A1009" s="155"/>
      <c r="B1009" s="155"/>
      <c r="K1009" s="155"/>
      <c r="L1009" s="155"/>
      <c r="M1009" s="155"/>
    </row>
    <row r="1010" spans="1:13" x14ac:dyDescent="0.15">
      <c r="A1010" s="155"/>
      <c r="B1010" s="155"/>
      <c r="K1010" s="155"/>
      <c r="L1010" s="155"/>
      <c r="M1010" s="155"/>
    </row>
    <row r="1011" spans="1:13" x14ac:dyDescent="0.15">
      <c r="A1011" s="155"/>
      <c r="B1011" s="155"/>
      <c r="K1011" s="155"/>
      <c r="L1011" s="155"/>
      <c r="M1011" s="155"/>
    </row>
    <row r="1012" spans="1:13" x14ac:dyDescent="0.15">
      <c r="A1012" s="155"/>
      <c r="B1012" s="155"/>
      <c r="K1012" s="155"/>
      <c r="L1012" s="155"/>
      <c r="M1012" s="155"/>
    </row>
    <row r="1013" spans="1:13" x14ac:dyDescent="0.15">
      <c r="A1013" s="155"/>
      <c r="B1013" s="155"/>
      <c r="K1013" s="155"/>
      <c r="L1013" s="155"/>
      <c r="M1013" s="155"/>
    </row>
    <row r="1014" spans="1:13" x14ac:dyDescent="0.15">
      <c r="A1014" s="155"/>
      <c r="B1014" s="155"/>
      <c r="K1014" s="155"/>
      <c r="L1014" s="155"/>
      <c r="M1014" s="155"/>
    </row>
    <row r="1015" spans="1:13" x14ac:dyDescent="0.15">
      <c r="A1015" s="155"/>
      <c r="B1015" s="155"/>
      <c r="K1015" s="155"/>
      <c r="L1015" s="155"/>
      <c r="M1015" s="155"/>
    </row>
    <row r="1016" spans="1:13" x14ac:dyDescent="0.15">
      <c r="A1016" s="155"/>
      <c r="B1016" s="155"/>
      <c r="K1016" s="155"/>
      <c r="L1016" s="155"/>
      <c r="M1016" s="155"/>
    </row>
    <row r="1017" spans="1:13" x14ac:dyDescent="0.15">
      <c r="A1017" s="155"/>
      <c r="B1017" s="155"/>
      <c r="K1017" s="155"/>
      <c r="L1017" s="155"/>
      <c r="M1017" s="155"/>
    </row>
    <row r="1018" spans="1:13" x14ac:dyDescent="0.15">
      <c r="A1018" s="155"/>
      <c r="B1018" s="155"/>
      <c r="K1018" s="155"/>
      <c r="L1018" s="155"/>
      <c r="M1018" s="155"/>
    </row>
    <row r="1019" spans="1:13" x14ac:dyDescent="0.15">
      <c r="A1019" s="155"/>
      <c r="B1019" s="155"/>
      <c r="K1019" s="155"/>
      <c r="L1019" s="155"/>
      <c r="M1019" s="155"/>
    </row>
    <row r="1020" spans="1:13" x14ac:dyDescent="0.15">
      <c r="A1020" s="155"/>
      <c r="B1020" s="155"/>
      <c r="K1020" s="155"/>
      <c r="L1020" s="155"/>
      <c r="M1020" s="155"/>
    </row>
    <row r="1021" spans="1:13" x14ac:dyDescent="0.15">
      <c r="A1021" s="155"/>
      <c r="B1021" s="155"/>
      <c r="K1021" s="155"/>
      <c r="L1021" s="155"/>
      <c r="M1021" s="155"/>
    </row>
    <row r="1022" spans="1:13" x14ac:dyDescent="0.15">
      <c r="A1022" s="155"/>
      <c r="B1022" s="155"/>
      <c r="K1022" s="155"/>
      <c r="L1022" s="155"/>
      <c r="M1022" s="155"/>
    </row>
    <row r="1023" spans="1:13" x14ac:dyDescent="0.15">
      <c r="A1023" s="155"/>
      <c r="B1023" s="155"/>
      <c r="K1023" s="155"/>
      <c r="L1023" s="155"/>
      <c r="M1023" s="155"/>
    </row>
    <row r="1024" spans="1:13" x14ac:dyDescent="0.15">
      <c r="A1024" s="155"/>
      <c r="B1024" s="155"/>
      <c r="K1024" s="155"/>
      <c r="L1024" s="155"/>
      <c r="M1024" s="155"/>
    </row>
    <row r="1025" spans="1:13" x14ac:dyDescent="0.15">
      <c r="A1025" s="155"/>
      <c r="B1025" s="155"/>
      <c r="K1025" s="155"/>
      <c r="L1025" s="155"/>
      <c r="M1025" s="155"/>
    </row>
    <row r="1026" spans="1:13" x14ac:dyDescent="0.15">
      <c r="A1026" s="155"/>
      <c r="B1026" s="155"/>
      <c r="K1026" s="155"/>
      <c r="L1026" s="155"/>
      <c r="M1026" s="155"/>
    </row>
    <row r="1027" spans="1:13" x14ac:dyDescent="0.15">
      <c r="A1027" s="155"/>
      <c r="B1027" s="155"/>
      <c r="K1027" s="155"/>
      <c r="L1027" s="155"/>
      <c r="M1027" s="155"/>
    </row>
    <row r="1028" spans="1:13" x14ac:dyDescent="0.15">
      <c r="A1028" s="155"/>
      <c r="B1028" s="155"/>
      <c r="K1028" s="155"/>
      <c r="L1028" s="155"/>
      <c r="M1028" s="155"/>
    </row>
    <row r="1029" spans="1:13" x14ac:dyDescent="0.15">
      <c r="A1029" s="155"/>
      <c r="B1029" s="155"/>
      <c r="K1029" s="155"/>
      <c r="L1029" s="155"/>
      <c r="M1029" s="155"/>
    </row>
    <row r="1030" spans="1:13" x14ac:dyDescent="0.15">
      <c r="A1030" s="155"/>
      <c r="B1030" s="155"/>
      <c r="K1030" s="155"/>
      <c r="L1030" s="155"/>
      <c r="M1030" s="155"/>
    </row>
    <row r="1031" spans="1:13" x14ac:dyDescent="0.15">
      <c r="A1031" s="155"/>
      <c r="B1031" s="155"/>
      <c r="K1031" s="155"/>
      <c r="L1031" s="155"/>
      <c r="M1031" s="155"/>
    </row>
    <row r="1032" spans="1:13" x14ac:dyDescent="0.15">
      <c r="A1032" s="155"/>
      <c r="B1032" s="155"/>
      <c r="K1032" s="155"/>
      <c r="L1032" s="155"/>
      <c r="M1032" s="155"/>
    </row>
    <row r="1033" spans="1:13" x14ac:dyDescent="0.15">
      <c r="A1033" s="155"/>
      <c r="B1033" s="155"/>
      <c r="K1033" s="155"/>
      <c r="L1033" s="155"/>
      <c r="M1033" s="155"/>
    </row>
    <row r="1034" spans="1:13" x14ac:dyDescent="0.15">
      <c r="A1034" s="155"/>
      <c r="B1034" s="155"/>
      <c r="K1034" s="155"/>
      <c r="L1034" s="155"/>
      <c r="M1034" s="155"/>
    </row>
    <row r="1035" spans="1:13" x14ac:dyDescent="0.15">
      <c r="A1035" s="155"/>
      <c r="B1035" s="155"/>
      <c r="K1035" s="155"/>
      <c r="L1035" s="155"/>
      <c r="M1035" s="155"/>
    </row>
    <row r="1036" spans="1:13" x14ac:dyDescent="0.15">
      <c r="A1036" s="155"/>
      <c r="B1036" s="155"/>
      <c r="K1036" s="155"/>
      <c r="L1036" s="155"/>
      <c r="M1036" s="155"/>
    </row>
    <row r="1037" spans="1:13" x14ac:dyDescent="0.15">
      <c r="A1037" s="155"/>
      <c r="B1037" s="155"/>
      <c r="K1037" s="155"/>
      <c r="L1037" s="155"/>
      <c r="M1037" s="155"/>
    </row>
    <row r="1038" spans="1:13" x14ac:dyDescent="0.15">
      <c r="A1038" s="155"/>
      <c r="B1038" s="155"/>
      <c r="K1038" s="155"/>
      <c r="L1038" s="155"/>
      <c r="M1038" s="155"/>
    </row>
    <row r="1039" spans="1:13" x14ac:dyDescent="0.15">
      <c r="A1039" s="155"/>
      <c r="B1039" s="155"/>
      <c r="K1039" s="155"/>
      <c r="L1039" s="155"/>
      <c r="M1039" s="155"/>
    </row>
    <row r="1040" spans="1:13" x14ac:dyDescent="0.15">
      <c r="A1040" s="155"/>
      <c r="B1040" s="155"/>
      <c r="K1040" s="155"/>
      <c r="L1040" s="155"/>
      <c r="M1040" s="155"/>
    </row>
    <row r="1041" spans="1:13" x14ac:dyDescent="0.15">
      <c r="A1041" s="155"/>
      <c r="B1041" s="155"/>
      <c r="K1041" s="155"/>
      <c r="L1041" s="155"/>
      <c r="M1041" s="155"/>
    </row>
    <row r="1042" spans="1:13" x14ac:dyDescent="0.15">
      <c r="A1042" s="155"/>
      <c r="B1042" s="155"/>
      <c r="K1042" s="155"/>
      <c r="L1042" s="155"/>
      <c r="M1042" s="155"/>
    </row>
    <row r="1043" spans="1:13" x14ac:dyDescent="0.15">
      <c r="A1043" s="155"/>
      <c r="B1043" s="155"/>
      <c r="K1043" s="155"/>
      <c r="L1043" s="155"/>
      <c r="M1043" s="155"/>
    </row>
    <row r="1044" spans="1:13" x14ac:dyDescent="0.15">
      <c r="A1044" s="155"/>
      <c r="B1044" s="155"/>
      <c r="K1044" s="155"/>
      <c r="L1044" s="155"/>
      <c r="M1044" s="155"/>
    </row>
    <row r="1045" spans="1:13" x14ac:dyDescent="0.15">
      <c r="A1045" s="155"/>
      <c r="B1045" s="155"/>
      <c r="K1045" s="155"/>
      <c r="L1045" s="155"/>
      <c r="M1045" s="155"/>
    </row>
    <row r="1046" spans="1:13" x14ac:dyDescent="0.15">
      <c r="A1046" s="155"/>
      <c r="B1046" s="155"/>
      <c r="K1046" s="155"/>
      <c r="L1046" s="155"/>
      <c r="M1046" s="155"/>
    </row>
    <row r="1047" spans="1:13" x14ac:dyDescent="0.15">
      <c r="A1047" s="155"/>
      <c r="B1047" s="155"/>
      <c r="K1047" s="155"/>
      <c r="L1047" s="155"/>
      <c r="M1047" s="155"/>
    </row>
    <row r="1048" spans="1:13" x14ac:dyDescent="0.15">
      <c r="A1048" s="155"/>
      <c r="B1048" s="155"/>
      <c r="K1048" s="155"/>
      <c r="L1048" s="155"/>
      <c r="M1048" s="155"/>
    </row>
    <row r="1049" spans="1:13" x14ac:dyDescent="0.15">
      <c r="A1049" s="155"/>
      <c r="B1049" s="155"/>
      <c r="K1049" s="155"/>
      <c r="L1049" s="155"/>
      <c r="M1049" s="155"/>
    </row>
    <row r="1050" spans="1:13" x14ac:dyDescent="0.15">
      <c r="A1050" s="155"/>
      <c r="B1050" s="155"/>
      <c r="K1050" s="155"/>
      <c r="L1050" s="155"/>
      <c r="M1050" s="155"/>
    </row>
    <row r="1051" spans="1:13" x14ac:dyDescent="0.15">
      <c r="A1051" s="155"/>
      <c r="B1051" s="155"/>
      <c r="K1051" s="155"/>
      <c r="L1051" s="155"/>
      <c r="M1051" s="155"/>
    </row>
    <row r="1052" spans="1:13" x14ac:dyDescent="0.15">
      <c r="A1052" s="155"/>
      <c r="B1052" s="155"/>
      <c r="K1052" s="155"/>
      <c r="L1052" s="155"/>
      <c r="M1052" s="155"/>
    </row>
    <row r="1053" spans="1:13" x14ac:dyDescent="0.15">
      <c r="A1053" s="155"/>
      <c r="B1053" s="155"/>
      <c r="K1053" s="155"/>
      <c r="L1053" s="155"/>
      <c r="M1053" s="155"/>
    </row>
    <row r="1054" spans="1:13" x14ac:dyDescent="0.15">
      <c r="A1054" s="155"/>
      <c r="B1054" s="155"/>
      <c r="K1054" s="155"/>
      <c r="L1054" s="155"/>
      <c r="M1054" s="155"/>
    </row>
    <row r="1055" spans="1:13" x14ac:dyDescent="0.15">
      <c r="A1055" s="155"/>
      <c r="B1055" s="155"/>
      <c r="K1055" s="155"/>
      <c r="L1055" s="155"/>
      <c r="M1055" s="155"/>
    </row>
    <row r="1056" spans="1:13" x14ac:dyDescent="0.15">
      <c r="A1056" s="155"/>
      <c r="B1056" s="155"/>
      <c r="K1056" s="155"/>
      <c r="L1056" s="155"/>
      <c r="M1056" s="155"/>
    </row>
    <row r="1057" spans="1:13" x14ac:dyDescent="0.15">
      <c r="A1057" s="155"/>
      <c r="B1057" s="155"/>
      <c r="K1057" s="155"/>
      <c r="L1057" s="155"/>
      <c r="M1057" s="155"/>
    </row>
    <row r="1058" spans="1:13" x14ac:dyDescent="0.15">
      <c r="A1058" s="155"/>
      <c r="B1058" s="155"/>
      <c r="K1058" s="155"/>
      <c r="L1058" s="155"/>
      <c r="M1058" s="155"/>
    </row>
    <row r="1059" spans="1:13" x14ac:dyDescent="0.15">
      <c r="A1059" s="155"/>
      <c r="B1059" s="155"/>
      <c r="K1059" s="155"/>
      <c r="L1059" s="155"/>
      <c r="M1059" s="155"/>
    </row>
    <row r="1060" spans="1:13" x14ac:dyDescent="0.15">
      <c r="A1060" s="155"/>
      <c r="B1060" s="155"/>
      <c r="K1060" s="155"/>
      <c r="L1060" s="155"/>
      <c r="M1060" s="155"/>
    </row>
    <row r="1061" spans="1:13" x14ac:dyDescent="0.15">
      <c r="A1061" s="155"/>
      <c r="B1061" s="155"/>
      <c r="K1061" s="155"/>
      <c r="L1061" s="155"/>
      <c r="M1061" s="155"/>
    </row>
    <row r="1062" spans="1:13" x14ac:dyDescent="0.15">
      <c r="A1062" s="155"/>
      <c r="B1062" s="155"/>
      <c r="K1062" s="155"/>
      <c r="L1062" s="155"/>
      <c r="M1062" s="155"/>
    </row>
    <row r="1063" spans="1:13" x14ac:dyDescent="0.15">
      <c r="A1063" s="155"/>
      <c r="B1063" s="155"/>
      <c r="K1063" s="155"/>
      <c r="L1063" s="155"/>
      <c r="M1063" s="155"/>
    </row>
    <row r="1064" spans="1:13" x14ac:dyDescent="0.15">
      <c r="A1064" s="155"/>
      <c r="B1064" s="155"/>
      <c r="K1064" s="155"/>
      <c r="L1064" s="155"/>
      <c r="M1064" s="155"/>
    </row>
    <row r="1065" spans="1:13" x14ac:dyDescent="0.15">
      <c r="A1065" s="155"/>
      <c r="B1065" s="155"/>
      <c r="K1065" s="155"/>
      <c r="L1065" s="155"/>
      <c r="M1065" s="155"/>
    </row>
    <row r="1066" spans="1:13" x14ac:dyDescent="0.15">
      <c r="A1066" s="155"/>
      <c r="B1066" s="155"/>
      <c r="K1066" s="155"/>
      <c r="L1066" s="155"/>
      <c r="M1066" s="155"/>
    </row>
    <row r="1067" spans="1:13" x14ac:dyDescent="0.15">
      <c r="A1067" s="155"/>
      <c r="B1067" s="155"/>
      <c r="K1067" s="155"/>
      <c r="L1067" s="155"/>
      <c r="M1067" s="155"/>
    </row>
    <row r="1068" spans="1:13" x14ac:dyDescent="0.15">
      <c r="A1068" s="155"/>
      <c r="B1068" s="155"/>
      <c r="K1068" s="155"/>
      <c r="L1068" s="155"/>
      <c r="M1068" s="155"/>
    </row>
    <row r="1069" spans="1:13" x14ac:dyDescent="0.15">
      <c r="A1069" s="155"/>
      <c r="B1069" s="155"/>
      <c r="K1069" s="155"/>
      <c r="L1069" s="155"/>
      <c r="M1069" s="155"/>
    </row>
    <row r="1070" spans="1:13" x14ac:dyDescent="0.15">
      <c r="A1070" s="155"/>
      <c r="B1070" s="155"/>
      <c r="K1070" s="155"/>
      <c r="L1070" s="155"/>
      <c r="M1070" s="155"/>
    </row>
    <row r="1071" spans="1:13" x14ac:dyDescent="0.15">
      <c r="A1071" s="155"/>
      <c r="B1071" s="155"/>
      <c r="K1071" s="155"/>
      <c r="L1071" s="155"/>
      <c r="M1071" s="155"/>
    </row>
    <row r="1072" spans="1:13" x14ac:dyDescent="0.15">
      <c r="A1072" s="155"/>
      <c r="B1072" s="155"/>
      <c r="K1072" s="155"/>
      <c r="L1072" s="155"/>
      <c r="M1072" s="155"/>
    </row>
    <row r="1073" spans="1:13" x14ac:dyDescent="0.15">
      <c r="A1073" s="155"/>
      <c r="B1073" s="155"/>
      <c r="K1073" s="155"/>
      <c r="L1073" s="155"/>
      <c r="M1073" s="155"/>
    </row>
    <row r="1074" spans="1:13" x14ac:dyDescent="0.15">
      <c r="A1074" s="155"/>
      <c r="B1074" s="155"/>
      <c r="K1074" s="155"/>
      <c r="L1074" s="155"/>
      <c r="M1074" s="155"/>
    </row>
    <row r="1075" spans="1:13" x14ac:dyDescent="0.15">
      <c r="A1075" s="155"/>
      <c r="B1075" s="155"/>
      <c r="K1075" s="155"/>
      <c r="L1075" s="155"/>
      <c r="M1075" s="155"/>
    </row>
    <row r="1076" spans="1:13" x14ac:dyDescent="0.15">
      <c r="A1076" s="155"/>
      <c r="B1076" s="155"/>
      <c r="K1076" s="155"/>
      <c r="L1076" s="155"/>
      <c r="M1076" s="155"/>
    </row>
    <row r="1077" spans="1:13" x14ac:dyDescent="0.15">
      <c r="A1077" s="155"/>
      <c r="B1077" s="155"/>
      <c r="K1077" s="155"/>
      <c r="L1077" s="155"/>
      <c r="M1077" s="155"/>
    </row>
    <row r="1078" spans="1:13" x14ac:dyDescent="0.15">
      <c r="A1078" s="155"/>
      <c r="B1078" s="155"/>
      <c r="K1078" s="155"/>
      <c r="L1078" s="155"/>
      <c r="M1078" s="155"/>
    </row>
    <row r="1079" spans="1:13" x14ac:dyDescent="0.15">
      <c r="A1079" s="155"/>
      <c r="B1079" s="155"/>
      <c r="K1079" s="155"/>
      <c r="L1079" s="155"/>
      <c r="M1079" s="155"/>
    </row>
    <row r="1080" spans="1:13" x14ac:dyDescent="0.15">
      <c r="A1080" s="155"/>
      <c r="B1080" s="155"/>
      <c r="K1080" s="155"/>
      <c r="L1080" s="155"/>
      <c r="M1080" s="155"/>
    </row>
    <row r="1081" spans="1:13" x14ac:dyDescent="0.15">
      <c r="A1081" s="155"/>
      <c r="B1081" s="155"/>
      <c r="K1081" s="155"/>
      <c r="L1081" s="155"/>
      <c r="M1081" s="155"/>
    </row>
    <row r="1082" spans="1:13" x14ac:dyDescent="0.15">
      <c r="A1082" s="155"/>
      <c r="B1082" s="155"/>
      <c r="K1082" s="155"/>
      <c r="L1082" s="155"/>
      <c r="M1082" s="155"/>
    </row>
    <row r="1083" spans="1:13" x14ac:dyDescent="0.15">
      <c r="A1083" s="155"/>
      <c r="B1083" s="155"/>
      <c r="K1083" s="155"/>
      <c r="L1083" s="155"/>
      <c r="M1083" s="155"/>
    </row>
    <row r="1084" spans="1:13" x14ac:dyDescent="0.15">
      <c r="A1084" s="155"/>
      <c r="B1084" s="155"/>
      <c r="K1084" s="155"/>
      <c r="L1084" s="155"/>
      <c r="M1084" s="155"/>
    </row>
    <row r="1085" spans="1:13" x14ac:dyDescent="0.15">
      <c r="A1085" s="155"/>
      <c r="B1085" s="155"/>
      <c r="K1085" s="155"/>
      <c r="L1085" s="155"/>
      <c r="M1085" s="155"/>
    </row>
    <row r="1086" spans="1:13" x14ac:dyDescent="0.15">
      <c r="A1086" s="155"/>
      <c r="B1086" s="155"/>
      <c r="K1086" s="155"/>
      <c r="L1086" s="155"/>
      <c r="M1086" s="155"/>
    </row>
    <row r="1087" spans="1:13" x14ac:dyDescent="0.15">
      <c r="A1087" s="155"/>
      <c r="B1087" s="155"/>
      <c r="K1087" s="155"/>
      <c r="L1087" s="155"/>
      <c r="M1087" s="155"/>
    </row>
    <row r="1088" spans="1:13" x14ac:dyDescent="0.15">
      <c r="A1088" s="155"/>
      <c r="B1088" s="155"/>
      <c r="K1088" s="155"/>
      <c r="L1088" s="155"/>
      <c r="M1088" s="155"/>
    </row>
    <row r="1089" spans="1:13" x14ac:dyDescent="0.15">
      <c r="A1089" s="155"/>
      <c r="B1089" s="155"/>
      <c r="K1089" s="155"/>
      <c r="L1089" s="155"/>
      <c r="M1089" s="155"/>
    </row>
    <row r="1090" spans="1:13" x14ac:dyDescent="0.15">
      <c r="A1090" s="155"/>
      <c r="B1090" s="155"/>
      <c r="K1090" s="155"/>
      <c r="L1090" s="155"/>
      <c r="M1090" s="155"/>
    </row>
    <row r="1091" spans="1:13" x14ac:dyDescent="0.15">
      <c r="A1091" s="155"/>
      <c r="B1091" s="155"/>
      <c r="K1091" s="155"/>
      <c r="L1091" s="155"/>
      <c r="M1091" s="155"/>
    </row>
    <row r="1092" spans="1:13" x14ac:dyDescent="0.15">
      <c r="A1092" s="155"/>
      <c r="B1092" s="155"/>
      <c r="K1092" s="155"/>
      <c r="L1092" s="155"/>
      <c r="M1092" s="155"/>
    </row>
    <row r="1093" spans="1:13" x14ac:dyDescent="0.15">
      <c r="A1093" s="155"/>
      <c r="B1093" s="155"/>
      <c r="K1093" s="155"/>
      <c r="L1093" s="155"/>
      <c r="M1093" s="155"/>
    </row>
    <row r="1094" spans="1:13" x14ac:dyDescent="0.15">
      <c r="A1094" s="155"/>
      <c r="B1094" s="155"/>
      <c r="K1094" s="155"/>
      <c r="L1094" s="155"/>
      <c r="M1094" s="155"/>
    </row>
    <row r="1095" spans="1:13" x14ac:dyDescent="0.15">
      <c r="A1095" s="155"/>
      <c r="B1095" s="155"/>
      <c r="K1095" s="155"/>
      <c r="L1095" s="155"/>
      <c r="M1095" s="155"/>
    </row>
    <row r="1096" spans="1:13" x14ac:dyDescent="0.15">
      <c r="A1096" s="155"/>
      <c r="B1096" s="155"/>
      <c r="K1096" s="155"/>
      <c r="L1096" s="155"/>
      <c r="M1096" s="155"/>
    </row>
    <row r="1097" spans="1:13" x14ac:dyDescent="0.15">
      <c r="A1097" s="155"/>
      <c r="B1097" s="155"/>
      <c r="K1097" s="155"/>
      <c r="L1097" s="155"/>
      <c r="M1097" s="155"/>
    </row>
    <row r="1098" spans="1:13" x14ac:dyDescent="0.15">
      <c r="A1098" s="155"/>
      <c r="B1098" s="155"/>
      <c r="K1098" s="155"/>
      <c r="L1098" s="155"/>
      <c r="M1098" s="155"/>
    </row>
    <row r="1099" spans="1:13" x14ac:dyDescent="0.15">
      <c r="A1099" s="155"/>
      <c r="B1099" s="155"/>
      <c r="K1099" s="155"/>
      <c r="L1099" s="155"/>
      <c r="M1099" s="155"/>
    </row>
    <row r="1100" spans="1:13" x14ac:dyDescent="0.15">
      <c r="A1100" s="155"/>
      <c r="B1100" s="155"/>
      <c r="K1100" s="155"/>
      <c r="L1100" s="155"/>
      <c r="M1100" s="155"/>
    </row>
    <row r="1101" spans="1:13" x14ac:dyDescent="0.15">
      <c r="A1101" s="155"/>
      <c r="B1101" s="155"/>
      <c r="K1101" s="155"/>
      <c r="L1101" s="155"/>
      <c r="M1101" s="155"/>
    </row>
    <row r="1102" spans="1:13" x14ac:dyDescent="0.15">
      <c r="A1102" s="155"/>
      <c r="B1102" s="155"/>
      <c r="K1102" s="155"/>
      <c r="L1102" s="155"/>
      <c r="M1102" s="155"/>
    </row>
    <row r="1103" spans="1:13" x14ac:dyDescent="0.15">
      <c r="A1103" s="155"/>
      <c r="B1103" s="155"/>
      <c r="K1103" s="155"/>
      <c r="L1103" s="155"/>
      <c r="M1103" s="155"/>
    </row>
    <row r="1104" spans="1:13" x14ac:dyDescent="0.15">
      <c r="A1104" s="155"/>
      <c r="B1104" s="155"/>
      <c r="K1104" s="155"/>
      <c r="L1104" s="155"/>
      <c r="M1104" s="155"/>
    </row>
    <row r="1105" spans="1:13" x14ac:dyDescent="0.15">
      <c r="A1105" s="155"/>
      <c r="B1105" s="155"/>
      <c r="K1105" s="155"/>
      <c r="L1105" s="155"/>
      <c r="M1105" s="155"/>
    </row>
    <row r="1106" spans="1:13" x14ac:dyDescent="0.15">
      <c r="A1106" s="155"/>
      <c r="B1106" s="155"/>
      <c r="K1106" s="155"/>
      <c r="L1106" s="155"/>
      <c r="M1106" s="155"/>
    </row>
    <row r="1107" spans="1:13" x14ac:dyDescent="0.15">
      <c r="A1107" s="155"/>
      <c r="B1107" s="155"/>
      <c r="K1107" s="155"/>
      <c r="L1107" s="155"/>
      <c r="M1107" s="155"/>
    </row>
    <row r="1108" spans="1:13" x14ac:dyDescent="0.15">
      <c r="A1108" s="155"/>
      <c r="B1108" s="155"/>
      <c r="K1108" s="155"/>
      <c r="L1108" s="155"/>
      <c r="M1108" s="155"/>
    </row>
    <row r="1109" spans="1:13" x14ac:dyDescent="0.15">
      <c r="A1109" s="155"/>
      <c r="B1109" s="155"/>
      <c r="K1109" s="155"/>
      <c r="L1109" s="155"/>
      <c r="M1109" s="155"/>
    </row>
    <row r="1110" spans="1:13" x14ac:dyDescent="0.15">
      <c r="A1110" s="155"/>
      <c r="B1110" s="155"/>
      <c r="K1110" s="155"/>
      <c r="L1110" s="155"/>
      <c r="M1110" s="155"/>
    </row>
    <row r="1111" spans="1:13" x14ac:dyDescent="0.15">
      <c r="A1111" s="155"/>
      <c r="B1111" s="155"/>
      <c r="K1111" s="155"/>
      <c r="L1111" s="155"/>
      <c r="M1111" s="155"/>
    </row>
    <row r="1112" spans="1:13" x14ac:dyDescent="0.15">
      <c r="A1112" s="155"/>
      <c r="B1112" s="155"/>
      <c r="K1112" s="155"/>
      <c r="L1112" s="155"/>
      <c r="M1112" s="155"/>
    </row>
    <row r="1113" spans="1:13" x14ac:dyDescent="0.15">
      <c r="A1113" s="155"/>
      <c r="B1113" s="155"/>
      <c r="K1113" s="155"/>
      <c r="L1113" s="155"/>
      <c r="M1113" s="155"/>
    </row>
    <row r="1114" spans="1:13" x14ac:dyDescent="0.15">
      <c r="A1114" s="155"/>
      <c r="B1114" s="155"/>
      <c r="K1114" s="155"/>
      <c r="L1114" s="155"/>
      <c r="M1114" s="155"/>
    </row>
    <row r="1115" spans="1:13" x14ac:dyDescent="0.15">
      <c r="A1115" s="155"/>
      <c r="B1115" s="155"/>
      <c r="K1115" s="155"/>
      <c r="L1115" s="155"/>
      <c r="M1115" s="155"/>
    </row>
    <row r="1116" spans="1:13" x14ac:dyDescent="0.15">
      <c r="A1116" s="155"/>
      <c r="B1116" s="155"/>
      <c r="K1116" s="155"/>
      <c r="L1116" s="155"/>
      <c r="M1116" s="155"/>
    </row>
    <row r="1117" spans="1:13" x14ac:dyDescent="0.15">
      <c r="A1117" s="155"/>
      <c r="B1117" s="155"/>
      <c r="K1117" s="155"/>
      <c r="L1117" s="155"/>
      <c r="M1117" s="155"/>
    </row>
  </sheetData>
  <phoneticPr fontId="52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使用说明</vt:lpstr>
      <vt:lpstr>业务模型</vt:lpstr>
      <vt:lpstr>利润表(年度)</vt:lpstr>
      <vt:lpstr>资产负债表</vt:lpstr>
      <vt:lpstr>现金流量表（单季度）</vt:lpstr>
      <vt:lpstr>利润表(单季度)</vt:lpstr>
      <vt:lpstr>资产负债假设</vt:lpstr>
      <vt:lpstr>资本开支假设</vt:lpstr>
      <vt:lpstr>IS</vt:lpstr>
      <vt:lpstr>BS</vt:lpstr>
      <vt:lpstr>CS</vt:lpstr>
      <vt:lpstr>DCF估值</vt:lpstr>
      <vt:lpstr>DCF估值结果</vt:lpstr>
      <vt:lpstr>PE估值结果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聂国娜</cp:lastModifiedBy>
  <dcterms:created xsi:type="dcterms:W3CDTF">2006-09-16T00:00:00Z</dcterms:created>
  <dcterms:modified xsi:type="dcterms:W3CDTF">2019-11-29T09:05:30Z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