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090" activeTab="5"/>
  </bookViews>
  <sheets>
    <sheet name="封面" sheetId="15" r:id="rId1"/>
    <sheet name="DCF估值结果 " sheetId="14" r:id="rId2"/>
    <sheet name="业务模型" sheetId="4" r:id="rId3"/>
    <sheet name="行业1" sheetId="7" r:id="rId4"/>
    <sheet name="行业2" sheetId="16" r:id="rId5"/>
    <sheet name="2017" sheetId="5" r:id="rId6"/>
    <sheet name="2018" sheetId="8" r:id="rId7"/>
    <sheet name="生产产能" sheetId="6" r:id="rId8"/>
    <sheet name="IS" sheetId="1" r:id="rId9"/>
    <sheet name="资产负债表假设" sheetId="10" r:id="rId10"/>
    <sheet name="资本开支假设" sheetId="11" r:id="rId11"/>
    <sheet name="BS" sheetId="2" r:id="rId12"/>
    <sheet name="CS" sheetId="3" r:id="rId13"/>
    <sheet name="DCF估值" sheetId="13" r:id="rId14"/>
  </sheets>
  <externalReferences>
    <externalReference r:id="rId15"/>
    <externalReference r:id="rId16"/>
    <externalReference r:id="rId17"/>
  </externalReferences>
  <definedNames>
    <definedName name="g">[1]DCF!$F$38</definedName>
    <definedName name="WACC">[1]DCF!$F$19</definedName>
    <definedName name="使用说明">#REF!</definedName>
    <definedName name="一使用说明">#REF!</definedName>
    <definedName name="一使用说明" localSheetId="0">#REF!</definedName>
    <definedName name="使用说明" localSheetId="0">#REF!</definedName>
    <definedName name="使用说明" localSheetId="4">#REF!</definedName>
    <definedName name="一使用说明" localSheetId="4">#REF!</definedName>
  </definedNames>
  <calcPr calcId="144525"/>
</workbook>
</file>

<file path=xl/comments1.xml><?xml version="1.0" encoding="utf-8"?>
<comments xmlns="http://schemas.openxmlformats.org/spreadsheetml/2006/main">
  <authors>
    <author>sl</author>
  </authors>
  <commentList>
    <comment ref="D28" authorId="0">
      <text>
        <r>
          <rPr>
            <b/>
            <sz val="9"/>
            <rFont val="宋体"/>
            <charset val="134"/>
          </rPr>
          <t>sl:</t>
        </r>
        <r>
          <rPr>
            <sz val="9"/>
            <rFont val="宋体"/>
            <charset val="134"/>
          </rPr>
          <t xml:space="preserve">
债权资本占比</t>
        </r>
      </text>
    </comment>
  </commentList>
</comments>
</file>

<file path=xl/sharedStrings.xml><?xml version="1.0" encoding="utf-8"?>
<sst xmlns="http://schemas.openxmlformats.org/spreadsheetml/2006/main" count="350" uniqueCount="306">
  <si>
    <t>上海家化估值模型</t>
  </si>
  <si>
    <t>建模机构：</t>
  </si>
  <si>
    <t>格隆汇勾股大数据</t>
  </si>
  <si>
    <t>建模标的：</t>
  </si>
  <si>
    <t>上海家化</t>
  </si>
  <si>
    <t>建模日期：</t>
  </si>
  <si>
    <t>证券代码：</t>
  </si>
  <si>
    <t>建模人员：</t>
  </si>
  <si>
    <t>大胖龙</t>
  </si>
  <si>
    <t>行业：</t>
  </si>
  <si>
    <t>日用化工品、化妆品</t>
  </si>
  <si>
    <t>估值结果（元/股）：</t>
  </si>
  <si>
    <t>现价（元/股）：</t>
  </si>
  <si>
    <t>日期</t>
  </si>
  <si>
    <t>企业价值(亿元）：</t>
  </si>
  <si>
    <t>溢价率：</t>
  </si>
  <si>
    <t>本模型有效期：</t>
  </si>
  <si>
    <t>2019/11/27-2020/03/31</t>
  </si>
  <si>
    <t>本模型适应人员：</t>
  </si>
  <si>
    <t>基金经理、权益投资机构、高净值价值投资者</t>
  </si>
  <si>
    <t>免责声明</t>
  </si>
  <si>
    <t>本文的信息来源于已公开资料，本人对该等信息的准确性、完整性或可靠性不作任何保证。在任何情况下，本模型中的结果或所表达的意见均不构成对任何人的投资建议，在任何情况下，本公司、本公司员工或关联机构不承诺任何投资收益保证，不与投资者分项任何投资收益，也不对任何人因使用本模型所带来的任何后果负任何责任。投资者务必注意，据此模型做出的任何投资行为均与本公司、本公司员工或关联机构无关。用户须依靠自己的判断作出决策，风险自负。</t>
  </si>
  <si>
    <t>上海家化DCF估值结果</t>
  </si>
  <si>
    <t>估值参数</t>
  </si>
  <si>
    <t>估值结果</t>
  </si>
  <si>
    <t>敏感性分析</t>
  </si>
  <si>
    <t>企业价值总计（亿元）</t>
  </si>
  <si>
    <t>WACC/G</t>
  </si>
  <si>
    <t>减：净负债（亿元）</t>
  </si>
  <si>
    <t>减：少数股东权益（亿元）</t>
  </si>
  <si>
    <t>归母股东股权价值合计（亿元）</t>
  </si>
  <si>
    <t>股本(亿股）</t>
  </si>
  <si>
    <t>每股价值（元）</t>
  </si>
  <si>
    <t>当前股价（元/股)</t>
  </si>
  <si>
    <t>个人护理</t>
  </si>
  <si>
    <t>收入</t>
  </si>
  <si>
    <t>yoy</t>
  </si>
  <si>
    <t>成本</t>
  </si>
  <si>
    <t>毛利</t>
  </si>
  <si>
    <t>毛利率(%)</t>
  </si>
  <si>
    <t>业务收入比例(%)</t>
  </si>
  <si>
    <t>美容护肤</t>
  </si>
  <si>
    <t>家居护理用品</t>
  </si>
  <si>
    <t>其他业务</t>
  </si>
  <si>
    <t>营业收入</t>
  </si>
  <si>
    <t>YOY</t>
  </si>
  <si>
    <t>营业成本</t>
  </si>
  <si>
    <t>华东</t>
  </si>
  <si>
    <t>美容及个人护理行业销售额:以零售额计算</t>
  </si>
  <si>
    <t>销售额</t>
  </si>
  <si>
    <t>销售增速</t>
  </si>
  <si>
    <r>
      <rPr>
        <sz val="10.55"/>
        <color rgb="FF000000"/>
        <rFont val="Arial"/>
        <charset val="134"/>
      </rPr>
      <t xml:space="preserve">2018 </t>
    </r>
    <r>
      <rPr>
        <sz val="10.55"/>
        <color rgb="FF000000"/>
        <rFont val="华文楷体"/>
        <charset val="134"/>
      </rPr>
      <t xml:space="preserve">年 </t>
    </r>
    <r>
      <rPr>
        <sz val="10.55"/>
        <color rgb="FF000000"/>
        <rFont val="Arial"/>
        <charset val="134"/>
      </rPr>
      <t xml:space="preserve">1~11 </t>
    </r>
    <r>
      <rPr>
        <sz val="10.55"/>
        <color rgb="FF000000"/>
        <rFont val="华文楷体"/>
        <charset val="134"/>
      </rPr>
      <t>月我国化妆品进口额占我国化妆</t>
    </r>
  </si>
  <si>
    <r>
      <rPr>
        <sz val="10.55"/>
        <color rgb="FF000000"/>
        <rFont val="华文楷体"/>
        <charset val="134"/>
      </rPr>
      <t xml:space="preserve">品总零售额比重已经由 </t>
    </r>
    <r>
      <rPr>
        <sz val="10.55"/>
        <color rgb="FF000000"/>
        <rFont val="Arial"/>
        <charset val="134"/>
      </rPr>
      <t xml:space="preserve">2008 </t>
    </r>
    <r>
      <rPr>
        <sz val="10.55"/>
        <color rgb="FF000000"/>
        <rFont val="华文楷体"/>
        <charset val="134"/>
      </rPr>
      <t xml:space="preserve">年的 </t>
    </r>
    <r>
      <rPr>
        <sz val="10.55"/>
        <color rgb="FF000000"/>
        <rFont val="Arial"/>
        <charset val="134"/>
      </rPr>
      <t>7%</t>
    </r>
    <r>
      <rPr>
        <sz val="10.55"/>
        <color rgb="FF000000"/>
        <rFont val="华文楷体"/>
        <charset val="134"/>
      </rPr>
      <t xml:space="preserve">提升至 </t>
    </r>
    <r>
      <rPr>
        <sz val="10.55"/>
        <color rgb="FF000000"/>
        <rFont val="Arial"/>
        <charset val="134"/>
      </rPr>
      <t>25%</t>
    </r>
    <r>
      <rPr>
        <sz val="10.55"/>
        <color rgb="FF000000"/>
        <rFont val="华文楷体"/>
        <charset val="134"/>
      </rPr>
      <t>。</t>
    </r>
  </si>
  <si>
    <r>
      <rPr>
        <sz val="10.55"/>
        <color rgb="FF000000"/>
        <rFont val="Arial"/>
        <charset val="134"/>
      </rPr>
      <t xml:space="preserve">2008~2017 </t>
    </r>
    <r>
      <rPr>
        <sz val="10.55"/>
        <color rgb="FF000000"/>
        <rFont val="华文楷体"/>
        <charset val="134"/>
      </rPr>
      <t>年我国大众、高</t>
    </r>
  </si>
  <si>
    <r>
      <rPr>
        <sz val="10.55"/>
        <color rgb="FF000000"/>
        <rFont val="华文楷体"/>
        <charset val="134"/>
      </rPr>
      <t xml:space="preserve">端化妆品市场规模复合增速分别为 </t>
    </r>
    <r>
      <rPr>
        <sz val="10.55"/>
        <color rgb="FF000000"/>
        <rFont val="Arial"/>
        <charset val="134"/>
      </rPr>
      <t>8.01%</t>
    </r>
    <r>
      <rPr>
        <sz val="10.55"/>
        <color rgb="FF000000"/>
        <rFont val="华文楷体"/>
        <charset val="134"/>
      </rPr>
      <t>、</t>
    </r>
    <r>
      <rPr>
        <sz val="10.55"/>
        <color rgb="FF000000"/>
        <rFont val="Arial"/>
        <charset val="134"/>
      </rPr>
      <t>11.66%</t>
    </r>
    <r>
      <rPr>
        <sz val="10.55"/>
        <color rgb="FF000000"/>
        <rFont val="华文楷体"/>
        <charset val="134"/>
      </rPr>
      <t>，其中高端化妆品占比</t>
    </r>
  </si>
  <si>
    <r>
      <rPr>
        <sz val="10.55"/>
        <color rgb="FFFF0000"/>
        <rFont val="Arial"/>
        <charset val="134"/>
      </rPr>
      <t xml:space="preserve">2017 </t>
    </r>
    <r>
      <rPr>
        <sz val="10.55"/>
        <color rgb="FFFF0000"/>
        <rFont val="华文楷体"/>
        <charset val="134"/>
      </rPr>
      <t>年我国化妆品中国际</t>
    </r>
  </si>
  <si>
    <r>
      <rPr>
        <sz val="10.55"/>
        <color rgb="FF000000"/>
        <rFont val="华文楷体"/>
        <charset val="134"/>
      </rPr>
      <t xml:space="preserve">由 </t>
    </r>
    <r>
      <rPr>
        <sz val="10.55"/>
        <color rgb="FF000000"/>
        <rFont val="Arial"/>
        <charset val="134"/>
      </rPr>
      <t xml:space="preserve">2008 </t>
    </r>
    <r>
      <rPr>
        <sz val="10.55"/>
        <color rgb="FF000000"/>
        <rFont val="华文楷体"/>
        <charset val="134"/>
      </rPr>
      <t xml:space="preserve">年的 </t>
    </r>
    <r>
      <rPr>
        <sz val="10.55"/>
        <color rgb="FF000000"/>
        <rFont val="Arial"/>
        <charset val="134"/>
      </rPr>
      <t>27%</t>
    </r>
    <r>
      <rPr>
        <sz val="10.55"/>
        <color rgb="FF000000"/>
        <rFont val="华文楷体"/>
        <charset val="134"/>
      </rPr>
      <t xml:space="preserve">提升至 </t>
    </r>
    <r>
      <rPr>
        <sz val="10.55"/>
        <color rgb="FF000000"/>
        <rFont val="Arial"/>
        <charset val="134"/>
      </rPr>
      <t xml:space="preserve">2017 </t>
    </r>
    <r>
      <rPr>
        <sz val="10.55"/>
        <color rgb="FF000000"/>
        <rFont val="华文楷体"/>
        <charset val="134"/>
      </rPr>
      <t xml:space="preserve">年的 </t>
    </r>
    <r>
      <rPr>
        <sz val="10.55"/>
        <color rgb="FF000000"/>
        <rFont val="Arial"/>
        <charset val="134"/>
      </rPr>
      <t>34%</t>
    </r>
    <r>
      <rPr>
        <sz val="10.55"/>
        <color rgb="FF000000"/>
        <rFont val="华文楷体"/>
        <charset val="134"/>
      </rPr>
      <t>。</t>
    </r>
  </si>
  <si>
    <r>
      <rPr>
        <sz val="10.55"/>
        <color rgb="FFFF0000"/>
        <rFont val="华文楷体"/>
        <charset val="134"/>
      </rPr>
      <t xml:space="preserve">公司及本土公司市占率分别为 </t>
    </r>
    <r>
      <rPr>
        <sz val="10.55"/>
        <color rgb="FFFF0000"/>
        <rFont val="Arial"/>
        <charset val="134"/>
      </rPr>
      <t>77.5%</t>
    </r>
    <r>
      <rPr>
        <sz val="10.55"/>
        <color rgb="FFFF0000"/>
        <rFont val="华文楷体"/>
        <charset val="134"/>
      </rPr>
      <t>、</t>
    </r>
    <r>
      <rPr>
        <sz val="10.55"/>
        <color rgb="FFFF0000"/>
        <rFont val="Arial"/>
        <charset val="134"/>
      </rPr>
      <t>22.5%</t>
    </r>
    <r>
      <rPr>
        <sz val="10.55"/>
        <color rgb="FFFF0000"/>
        <rFont val="华文楷体"/>
        <charset val="134"/>
      </rPr>
      <t>，其中在大众化妆品领域国际</t>
    </r>
  </si>
  <si>
    <r>
      <rPr>
        <sz val="10.55"/>
        <color rgb="FFFF0000"/>
        <rFont val="华文楷体"/>
        <charset val="134"/>
      </rPr>
      <t xml:space="preserve">公司、本土公司市占率分别为 </t>
    </r>
    <r>
      <rPr>
        <sz val="10.55"/>
        <color rgb="FFFF0000"/>
        <rFont val="Arial"/>
        <charset val="134"/>
      </rPr>
      <t>70.9%</t>
    </r>
    <r>
      <rPr>
        <sz val="10.55"/>
        <color rgb="FFFF0000"/>
        <rFont val="华文楷体"/>
        <charset val="134"/>
      </rPr>
      <t>、</t>
    </r>
    <r>
      <rPr>
        <sz val="10.55"/>
        <color rgb="FFFF0000"/>
        <rFont val="Arial"/>
        <charset val="134"/>
      </rPr>
      <t>29.1%</t>
    </r>
    <r>
      <rPr>
        <sz val="10.55"/>
        <color rgb="FFFF0000"/>
        <rFont val="华文楷体"/>
        <charset val="134"/>
      </rPr>
      <t>，在高端领域两者市占率分别</t>
    </r>
  </si>
  <si>
    <r>
      <rPr>
        <sz val="10.55"/>
        <color rgb="FFFF0000"/>
        <rFont val="华文楷体"/>
        <charset val="134"/>
      </rPr>
      <t xml:space="preserve">为 </t>
    </r>
    <r>
      <rPr>
        <sz val="10.55"/>
        <color rgb="FFFF0000"/>
        <rFont val="Arial"/>
        <charset val="134"/>
      </rPr>
      <t>96.7%</t>
    </r>
    <r>
      <rPr>
        <sz val="10.55"/>
        <color rgb="FFFF0000"/>
        <rFont val="华文楷体"/>
        <charset val="134"/>
      </rPr>
      <t>、</t>
    </r>
    <r>
      <rPr>
        <sz val="10.55"/>
        <color rgb="FFFF0000"/>
        <rFont val="Arial"/>
        <charset val="134"/>
      </rPr>
      <t>3.3%</t>
    </r>
    <r>
      <rPr>
        <sz val="10.55"/>
        <color rgb="FFFF0000"/>
        <rFont val="华文楷体"/>
        <charset val="134"/>
      </rPr>
      <t>，说明国际品牌在高端领域占据垄断优势。</t>
    </r>
  </si>
  <si>
    <t>2016：CR8:35.3%</t>
  </si>
  <si>
    <t>细分品类市场规模占比</t>
  </si>
  <si>
    <t>2012-2017</t>
  </si>
  <si>
    <t>护肤</t>
  </si>
  <si>
    <t>彩妆</t>
  </si>
  <si>
    <t>其他</t>
  </si>
  <si>
    <t>洗护发</t>
  </si>
  <si>
    <t>化妆品总体</t>
  </si>
  <si>
    <t>口腔护理</t>
  </si>
  <si>
    <t>淋浴用品</t>
  </si>
  <si>
    <r>
      <rPr>
        <sz val="10.55"/>
        <color rgb="FF000000"/>
        <rFont val="华文楷体"/>
        <charset val="134"/>
      </rPr>
      <t>从行业集中度来看，</t>
    </r>
    <r>
      <rPr>
        <sz val="10.55"/>
        <color rgb="FF000000"/>
        <rFont val="Arial"/>
        <charset val="134"/>
      </rPr>
      <t xml:space="preserve">2017 </t>
    </r>
    <r>
      <rPr>
        <sz val="10.55"/>
        <color rgb="FF000000"/>
        <rFont val="华文楷体"/>
        <charset val="134"/>
      </rPr>
      <t xml:space="preserve">年我国护肤 </t>
    </r>
    <r>
      <rPr>
        <sz val="10.55"/>
        <color rgb="FF000000"/>
        <rFont val="Arial"/>
        <charset val="134"/>
      </rPr>
      <t>CR5</t>
    </r>
    <r>
      <rPr>
        <sz val="10.55"/>
        <color rgb="FF000000"/>
        <rFont val="华文楷体"/>
        <charset val="134"/>
      </rPr>
      <t>、</t>
    </r>
    <r>
      <rPr>
        <sz val="10.55"/>
        <color rgb="FF000000"/>
        <rFont val="Arial"/>
        <charset val="134"/>
      </rPr>
      <t xml:space="preserve">CR10 </t>
    </r>
    <r>
      <rPr>
        <sz val="10.55"/>
        <color rgb="FF000000"/>
        <rFont val="华文楷体"/>
        <charset val="134"/>
      </rPr>
      <t xml:space="preserve">分别为 </t>
    </r>
    <r>
      <rPr>
        <sz val="10.55"/>
        <color rgb="FF000000"/>
        <rFont val="Arial"/>
        <charset val="134"/>
      </rPr>
      <t>27.0%</t>
    </r>
    <r>
      <rPr>
        <sz val="10.55"/>
        <color rgb="FF000000"/>
        <rFont val="华文楷体"/>
        <charset val="134"/>
      </rPr>
      <t>、</t>
    </r>
    <r>
      <rPr>
        <sz val="10.55"/>
        <color rgb="FF000000"/>
        <rFont val="Arial"/>
        <charset val="134"/>
      </rPr>
      <t>44.1%</t>
    </r>
    <r>
      <rPr>
        <sz val="10.55"/>
        <color rgb="FF000000"/>
        <rFont val="华文楷体"/>
        <charset val="134"/>
      </rPr>
      <t>，</t>
    </r>
  </si>
  <si>
    <r>
      <rPr>
        <sz val="10.55"/>
        <color rgb="FF000000"/>
        <rFont val="华文楷体"/>
        <charset val="134"/>
      </rPr>
      <t xml:space="preserve">分别较 </t>
    </r>
    <r>
      <rPr>
        <sz val="10.55"/>
        <color rgb="FF000000"/>
        <rFont val="Arial"/>
        <charset val="134"/>
      </rPr>
      <t xml:space="preserve">2008 </t>
    </r>
    <r>
      <rPr>
        <sz val="10.55"/>
        <color rgb="FF000000"/>
        <rFont val="华文楷体"/>
        <charset val="134"/>
      </rPr>
      <t xml:space="preserve">年下降 </t>
    </r>
    <r>
      <rPr>
        <sz val="10.55"/>
        <color rgb="FF000000"/>
        <rFont val="Arial"/>
        <charset val="134"/>
      </rPr>
      <t>4.0PCT</t>
    </r>
    <r>
      <rPr>
        <sz val="10.55"/>
        <color rgb="FF000000"/>
        <rFont val="华文楷体"/>
        <charset val="134"/>
      </rPr>
      <t>、</t>
    </r>
    <r>
      <rPr>
        <sz val="10.55"/>
        <color rgb="FF000000"/>
        <rFont val="Arial"/>
        <charset val="134"/>
      </rPr>
      <t>0.2PCT</t>
    </r>
    <r>
      <rPr>
        <sz val="10.55"/>
        <color rgb="FF000000"/>
        <rFont val="华文楷体"/>
        <charset val="134"/>
      </rPr>
      <t>，集中度有所下降，主要为原头部国</t>
    </r>
  </si>
  <si>
    <t>外公司如欧莱雅、宝洁、资生堂等市占率下降，而本土公司如百雀羚、上海</t>
  </si>
  <si>
    <r>
      <rPr>
        <sz val="10.55"/>
        <color rgb="FF000000"/>
        <rFont val="华文楷体"/>
        <charset val="134"/>
      </rPr>
      <t xml:space="preserve">上美等快速崛起、自 </t>
    </r>
    <r>
      <rPr>
        <sz val="10.55"/>
        <color rgb="FF000000"/>
        <rFont val="Arial"/>
        <charset val="134"/>
      </rPr>
      <t xml:space="preserve">2014 </t>
    </r>
    <r>
      <rPr>
        <sz val="10.55"/>
        <color rgb="FF000000"/>
        <rFont val="华文楷体"/>
        <charset val="134"/>
      </rPr>
      <t>年以来进入前十大公司。总体上看，近年行业格</t>
    </r>
  </si>
  <si>
    <t>局逐趋稳定</t>
  </si>
  <si>
    <t>2019</t>
  </si>
  <si>
    <t>2020</t>
  </si>
  <si>
    <t>2021</t>
  </si>
  <si>
    <t>2022</t>
  </si>
  <si>
    <t>2023</t>
  </si>
  <si>
    <t>2024</t>
  </si>
  <si>
    <t>　　营业成本</t>
  </si>
  <si>
    <t>毛利率</t>
  </si>
  <si>
    <t>　　税金及附加</t>
  </si>
  <si>
    <t>　　销售费用</t>
  </si>
  <si>
    <t>　　管理费用</t>
  </si>
  <si>
    <t>　　研发费用</t>
  </si>
  <si>
    <t>1.31</t>
  </si>
  <si>
    <t>1.25</t>
  </si>
  <si>
    <t>1.61</t>
  </si>
  <si>
    <t>　　财务费用</t>
  </si>
  <si>
    <t>　　　　其中：利息费用</t>
  </si>
  <si>
    <t>　　　　　　　减：利息收入</t>
  </si>
  <si>
    <t>　　加：其他收益</t>
  </si>
  <si>
    <t>　　投资净收益</t>
  </si>
  <si>
    <t>　　　　其中：对联营企业和合营企业的投资收益</t>
  </si>
  <si>
    <t>　　公允价值变动净收益</t>
  </si>
  <si>
    <t>　　资产减值损失</t>
  </si>
  <si>
    <t>　　信用减值损失</t>
  </si>
  <si>
    <t>　　资产处置收益</t>
  </si>
  <si>
    <t>营业利润</t>
  </si>
  <si>
    <t>　　加：营业外收入</t>
  </si>
  <si>
    <t>　　减：营业外支出</t>
  </si>
  <si>
    <t>利润总额</t>
  </si>
  <si>
    <t>　　减：所得税</t>
  </si>
  <si>
    <t>净利润</t>
  </si>
  <si>
    <t>　　归属于母公司所有者的净利润</t>
  </si>
  <si>
    <t>　　加：其他综合收益</t>
  </si>
  <si>
    <t>综合收益总额</t>
  </si>
  <si>
    <t>　　减：归属于少数股东的综合收益总额</t>
  </si>
  <si>
    <t>　　归属于母公司普通股东综合收益总额</t>
  </si>
  <si>
    <t>每股收益：</t>
  </si>
  <si>
    <t>　　基本每股收益</t>
  </si>
  <si>
    <t>假设条件</t>
  </si>
  <si>
    <t>税金及附加</t>
  </si>
  <si>
    <t>销售费用率</t>
  </si>
  <si>
    <t>管理费用率</t>
  </si>
  <si>
    <t>研发费用率</t>
  </si>
  <si>
    <t>财务费率</t>
  </si>
  <si>
    <t>所得税税率</t>
  </si>
  <si>
    <t>分配股利</t>
  </si>
  <si>
    <t>分配比例</t>
  </si>
  <si>
    <t>32.8%</t>
  </si>
  <si>
    <t>单位 : 亿元 , CNY</t>
  </si>
  <si>
    <t>数据来源：Wind</t>
  </si>
  <si>
    <t>经营性流动资产</t>
  </si>
  <si>
    <t>应收账款周转率</t>
  </si>
  <si>
    <t>存货周转率</t>
  </si>
  <si>
    <t>预付账款周转率</t>
  </si>
  <si>
    <t>其他应收款周转率</t>
  </si>
  <si>
    <t>经营性流动负债</t>
  </si>
  <si>
    <t>应付账款周转率</t>
  </si>
  <si>
    <t>预收款项周转率</t>
  </si>
  <si>
    <t>应付费用周转率</t>
  </si>
  <si>
    <t>其他应付款周转率</t>
  </si>
  <si>
    <t>非流动资产科目：</t>
  </si>
  <si>
    <t>长期待摊费用周转率</t>
  </si>
  <si>
    <t>递延所得税资产</t>
  </si>
  <si>
    <t>长期借款余额</t>
  </si>
  <si>
    <t>新增借款发生额</t>
  </si>
  <si>
    <t>偿还发生额</t>
  </si>
  <si>
    <t>短期借款</t>
  </si>
  <si>
    <t>应付职工薪酬周转率</t>
  </si>
  <si>
    <t>递延所得税负债周转率</t>
  </si>
  <si>
    <t>递延收益周转率</t>
  </si>
  <si>
    <t>固定资产新增</t>
  </si>
  <si>
    <t>在建工程新增</t>
  </si>
  <si>
    <t>无形资产新增</t>
  </si>
  <si>
    <t>长期股权投资新增</t>
  </si>
  <si>
    <t>资本开支合计</t>
  </si>
  <si>
    <t>固定资产期初余额</t>
  </si>
  <si>
    <t>新增</t>
  </si>
  <si>
    <t>折旧</t>
  </si>
  <si>
    <t>折旧比例</t>
  </si>
  <si>
    <t>固定资产期末余额</t>
  </si>
  <si>
    <t>在建工程期初余额</t>
  </si>
  <si>
    <t>转固比例</t>
  </si>
  <si>
    <t>在建工程期末余额</t>
  </si>
  <si>
    <t>无形资产期初余额</t>
  </si>
  <si>
    <t>摊销</t>
  </si>
  <si>
    <t>摊销比例</t>
  </si>
  <si>
    <t>无形资产期末余额</t>
  </si>
  <si>
    <t>长期股权投资期初余额</t>
  </si>
  <si>
    <t>长期股权新增</t>
  </si>
  <si>
    <t>长期股权投资期末余额</t>
  </si>
  <si>
    <t>流动资产：</t>
  </si>
  <si>
    <t>　　货币资金</t>
  </si>
  <si>
    <t>　　交易性金融资产</t>
  </si>
  <si>
    <t>15.07</t>
  </si>
  <si>
    <t>16.87</t>
  </si>
  <si>
    <t>12.25</t>
  </si>
  <si>
    <t>16.53</t>
  </si>
  <si>
    <t>　　应收票据</t>
  </si>
  <si>
    <t>　　应收账款</t>
  </si>
  <si>
    <t>　　预付款项</t>
  </si>
  <si>
    <t>　　其他应收款(合计)</t>
  </si>
  <si>
    <t>　　　　应收利息</t>
  </si>
  <si>
    <t>　　　　其他应收款</t>
  </si>
  <si>
    <t>　　存货</t>
  </si>
  <si>
    <t>　　其他流动资产</t>
  </si>
  <si>
    <t>　　流动资产合计</t>
  </si>
  <si>
    <t>非流动资产：</t>
  </si>
  <si>
    <t>　　以公允价值且其变动计入其他综合收益的金融资产</t>
  </si>
  <si>
    <t>　　可供出售金融资产</t>
  </si>
  <si>
    <t>　　其他非流动金融资产</t>
  </si>
  <si>
    <t>　　长期股权投资</t>
  </si>
  <si>
    <t>　　固定资产(合计)</t>
  </si>
  <si>
    <t>　　在建工程(合计)</t>
  </si>
  <si>
    <t>　　无形资产</t>
  </si>
  <si>
    <t>　　开发支出</t>
  </si>
  <si>
    <t>　　商誉</t>
  </si>
  <si>
    <t>　　长期待摊费用</t>
  </si>
  <si>
    <t>　　递延所得税资产</t>
  </si>
  <si>
    <t>　　其他非流动资产</t>
  </si>
  <si>
    <t>　　非流动资产合计</t>
  </si>
  <si>
    <t>资产总计</t>
  </si>
  <si>
    <t>流动负债：</t>
  </si>
  <si>
    <t>　　短期借款</t>
  </si>
  <si>
    <t>　　应付账款</t>
  </si>
  <si>
    <t>　　预收款项</t>
  </si>
  <si>
    <t>应付费用合计:</t>
  </si>
  <si>
    <t>　　应付职工薪酬</t>
  </si>
  <si>
    <t>　　应交税费</t>
  </si>
  <si>
    <t>　　其他应付款(合计)</t>
  </si>
  <si>
    <t>　　　　应付利息</t>
  </si>
  <si>
    <t>　　　　应付股利</t>
  </si>
  <si>
    <t>　　　　其他应付款</t>
  </si>
  <si>
    <t>　　划分为持有待售的负债</t>
  </si>
  <si>
    <t>　　一年内到期的非流动负债</t>
  </si>
  <si>
    <t>　　其他流动负债</t>
  </si>
  <si>
    <t>　　流动负债合计</t>
  </si>
  <si>
    <t>非流动负债：</t>
  </si>
  <si>
    <t>　　长期借款</t>
  </si>
  <si>
    <t>　　应付债券</t>
  </si>
  <si>
    <t>　　长期应付职工薪酬</t>
  </si>
  <si>
    <t>　　预计负债</t>
  </si>
  <si>
    <t>　　递延所得税负债</t>
  </si>
  <si>
    <t>　　递延收益-非流动负债</t>
  </si>
  <si>
    <t>　　非流动负债合计</t>
  </si>
  <si>
    <t>　　负债合计</t>
  </si>
  <si>
    <t>所有者权益(或股东权益)：</t>
  </si>
  <si>
    <t>　　实收资本(或股本)</t>
  </si>
  <si>
    <t>　　资本公积金</t>
  </si>
  <si>
    <t>　　减：库存股</t>
  </si>
  <si>
    <t>　　其它综合收益</t>
  </si>
  <si>
    <t>　　盈余公积金</t>
  </si>
  <si>
    <t>　　未分配利润</t>
  </si>
  <si>
    <t>　　归属于母公司所有者权益合计</t>
  </si>
  <si>
    <t>　　少数股东权益</t>
  </si>
  <si>
    <t>　　所有者权益合计</t>
  </si>
  <si>
    <t>负债和所有者权益总计</t>
  </si>
  <si>
    <t>2019Q3</t>
  </si>
  <si>
    <t>　　净利润</t>
  </si>
  <si>
    <t>　　加：资产减值准备</t>
  </si>
  <si>
    <t>　　　　固定资产折旧、油气资产折耗、生产性生物资产折旧</t>
  </si>
  <si>
    <t>　　　　无形资产摊销</t>
  </si>
  <si>
    <t>　　　　长期待摊费用摊销</t>
  </si>
  <si>
    <t>　　　　处置固定资产、无形资产和其他长期资产的损失</t>
  </si>
  <si>
    <t>　　　　公允价值变动损失</t>
  </si>
  <si>
    <t>　　　　财务费用</t>
  </si>
  <si>
    <t>　　　　投资损失</t>
  </si>
  <si>
    <t>0</t>
  </si>
  <si>
    <t>　　　　递延所得税资产减少</t>
  </si>
  <si>
    <t>　　　　递延所得税负债增加</t>
  </si>
  <si>
    <t>　　　　存货的减少</t>
  </si>
  <si>
    <t>　　　　经营性应收项目的减少</t>
  </si>
  <si>
    <t>　　　　经营性应付项目的增加</t>
  </si>
  <si>
    <t>　　　　其他</t>
  </si>
  <si>
    <t>　经营活动产生的现金流量净额</t>
  </si>
  <si>
    <t>　　收回投资收到的现金</t>
  </si>
  <si>
    <t>　　投资支付的现金</t>
  </si>
  <si>
    <t>　　取得投资收益收到的现金</t>
  </si>
  <si>
    <t>　　处置固定资产、无形资产和其他长期资产收回的现金净额</t>
  </si>
  <si>
    <t>　　处置子公司及其他营业单位收到的现金净额</t>
  </si>
  <si>
    <t>　　收到其他与投资活动有关的现金</t>
  </si>
  <si>
    <t>　　购建固定资产、无形资产和其他长期资产支付的现金</t>
  </si>
  <si>
    <t>　　取得子公司及其他营业单位支付的现金净额</t>
  </si>
  <si>
    <t>　　支付其他与投资活动有关的现金</t>
  </si>
  <si>
    <t>　　投资活动产生的现金流量净额</t>
  </si>
  <si>
    <t>筹资活动产生的现金流量：</t>
  </si>
  <si>
    <t>　　吸收投资收到的现金</t>
  </si>
  <si>
    <t>　　其中：子公司吸收少数股东投资收到的现金</t>
  </si>
  <si>
    <t>　　取得借款收到的现金</t>
  </si>
  <si>
    <t>　　收到其他与筹资活动有关的现金</t>
  </si>
  <si>
    <t>　　偿还债务支付的现金</t>
  </si>
  <si>
    <t>　　分配股利、利润或偿付利息支付的现金</t>
  </si>
  <si>
    <t>　　其中：子公司支付给少数股东的股利、利润</t>
  </si>
  <si>
    <t>　　支付其他与筹资活动有关的现金</t>
  </si>
  <si>
    <t>　　筹资活动产生的现金流量净额</t>
  </si>
  <si>
    <t>汇率变动对现金的影响</t>
  </si>
  <si>
    <t>现金及现金等价物净增加额</t>
  </si>
  <si>
    <t>　　期初现金及现金等价物余额</t>
  </si>
  <si>
    <t>　　期末现金及现金等价物余额</t>
  </si>
  <si>
    <t>营运资本追加</t>
  </si>
  <si>
    <t>加：所得税</t>
  </si>
  <si>
    <t>加：财务费用</t>
  </si>
  <si>
    <t>息税前利润（EBIT）</t>
  </si>
  <si>
    <t>同比变化（%）</t>
  </si>
  <si>
    <t>减：所得税（Taxes on EBIT）</t>
  </si>
  <si>
    <t>税后经营利润 (NOPAT)</t>
  </si>
  <si>
    <t>加：折旧</t>
  </si>
  <si>
    <t>加：摊销</t>
  </si>
  <si>
    <t>营运资本的增加</t>
  </si>
  <si>
    <t xml:space="preserve">    资本性支出</t>
  </si>
  <si>
    <t xml:space="preserve">企业自由现金流量 </t>
  </si>
  <si>
    <t>参数假设</t>
  </si>
  <si>
    <t>适用折现率：</t>
  </si>
  <si>
    <t>永续增长率g</t>
  </si>
  <si>
    <t>税后债务成本率</t>
  </si>
  <si>
    <t>股权成本率</t>
  </si>
  <si>
    <t>无风险报酬率</t>
  </si>
  <si>
    <t>风险补偿率</t>
  </si>
  <si>
    <t>贝塔系数</t>
  </si>
  <si>
    <t>目标资本结构</t>
  </si>
  <si>
    <t>现值测算</t>
  </si>
  <si>
    <t>折现系数</t>
  </si>
  <si>
    <t>企业自由现金流量现值</t>
  </si>
  <si>
    <t>预测期企业自由现金流量现值合计</t>
  </si>
  <si>
    <t>永续期企业自由现金流量现值合计</t>
  </si>
  <si>
    <t>企业价值总计</t>
  </si>
  <si>
    <t>减：净负债</t>
  </si>
  <si>
    <t>减：少数股东损益</t>
  </si>
  <si>
    <t>美元</t>
  </si>
  <si>
    <t>归母股东股权价值合计（百万人民币）</t>
  </si>
  <si>
    <t>每股价值</t>
  </si>
  <si>
    <t>WACC/g</t>
  </si>
</sst>
</file>

<file path=xl/styles.xml><?xml version="1.0" encoding="utf-8"?>
<styleSheet xmlns="http://schemas.openxmlformats.org/spreadsheetml/2006/main">
  <numFmts count="12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.0%"/>
    <numFmt numFmtId="177" formatCode="0.000_ "/>
    <numFmt numFmtId="178" formatCode="0.00_ "/>
    <numFmt numFmtId="179" formatCode="0_ "/>
    <numFmt numFmtId="180" formatCode="0.0_ "/>
    <numFmt numFmtId="181" formatCode="0.0000_ "/>
    <numFmt numFmtId="182" formatCode="#,##0.00_ "/>
    <numFmt numFmtId="183" formatCode="#,##0.0000_ "/>
  </numFmts>
  <fonts count="41">
    <font>
      <sz val="11"/>
      <color theme="1"/>
      <name val="宋体"/>
      <charset val="134"/>
      <scheme val="minor"/>
    </font>
    <font>
      <sz val="11"/>
      <color theme="1"/>
      <name val="楷体"/>
      <charset val="134"/>
    </font>
    <font>
      <sz val="12"/>
      <color theme="1"/>
      <name val="楷体"/>
      <charset val="134"/>
    </font>
    <font>
      <sz val="12"/>
      <color theme="1"/>
      <name val="宋体"/>
      <charset val="134"/>
      <scheme val="minor"/>
    </font>
    <font>
      <b/>
      <sz val="11"/>
      <name val="楷体"/>
      <charset val="134"/>
    </font>
    <font>
      <b/>
      <sz val="12"/>
      <name val="楷体"/>
      <charset val="134"/>
    </font>
    <font>
      <sz val="11"/>
      <name val="楷体"/>
      <charset val="134"/>
    </font>
    <font>
      <sz val="12"/>
      <name val="楷体"/>
      <charset val="134"/>
    </font>
    <font>
      <i/>
      <sz val="12"/>
      <color rgb="FFFF0000"/>
      <name val="楷体"/>
      <charset val="134"/>
    </font>
    <font>
      <sz val="12"/>
      <color indexed="10"/>
      <name val="楷体"/>
      <charset val="134"/>
    </font>
    <font>
      <i/>
      <sz val="12"/>
      <color theme="1"/>
      <name val="楷体"/>
      <charset val="134"/>
    </font>
    <font>
      <sz val="10.55"/>
      <color rgb="FF000000"/>
      <name val="Arial"/>
      <charset val="134"/>
    </font>
    <font>
      <sz val="10.55"/>
      <color rgb="FF000000"/>
      <name val="华文楷体"/>
      <charset val="134"/>
    </font>
    <font>
      <sz val="10.55"/>
      <color rgb="FFFF0000"/>
      <name val="Arial"/>
      <charset val="134"/>
    </font>
    <font>
      <sz val="10.55"/>
      <color rgb="FFFF0000"/>
      <name val="华文楷体"/>
      <charset val="134"/>
    </font>
    <font>
      <sz val="14"/>
      <color theme="1"/>
      <name val="楷体"/>
      <charset val="134"/>
    </font>
    <font>
      <i/>
      <sz val="14"/>
      <color rgb="FFFF0000"/>
      <name val="楷体"/>
      <charset val="134"/>
    </font>
    <font>
      <sz val="16"/>
      <color theme="1"/>
      <name val="楷体"/>
      <charset val="134"/>
    </font>
    <font>
      <sz val="14"/>
      <color theme="1"/>
      <name val="宋体"/>
      <charset val="134"/>
      <scheme val="minor"/>
    </font>
    <font>
      <i/>
      <sz val="14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4" tint="0.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5" fillId="16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17" borderId="14" applyNumberFormat="0" applyFont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35" fillId="25" borderId="18" applyNumberFormat="0" applyAlignment="0" applyProtection="0">
      <alignment vertical="center"/>
    </xf>
    <xf numFmtId="0" fontId="36" fillId="25" borderId="13" applyNumberFormat="0" applyAlignment="0" applyProtection="0">
      <alignment vertical="center"/>
    </xf>
    <xf numFmtId="0" fontId="34" fillId="24" borderId="17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3" fillId="3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6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2" fillId="2" borderId="0" xfId="0" applyFont="1" applyFill="1">
      <alignment vertical="center"/>
    </xf>
    <xf numFmtId="180" fontId="0" fillId="0" borderId="0" xfId="0" applyNumberFormat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6" fontId="0" fillId="0" borderId="0" xfId="11" applyNumberForma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9" fontId="0" fillId="0" borderId="0" xfId="1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0" fontId="2" fillId="0" borderId="0" xfId="11" applyNumberFormat="1" applyFont="1" applyAlignment="1">
      <alignment horizontal="center" vertical="center"/>
    </xf>
    <xf numFmtId="0" fontId="2" fillId="0" borderId="0" xfId="11" applyNumberFormat="1" applyFont="1" applyFill="1" applyBorder="1" applyAlignment="1" applyProtection="1">
      <alignment horizontal="center" vertical="center"/>
    </xf>
    <xf numFmtId="0" fontId="3" fillId="3" borderId="0" xfId="0" applyFont="1" applyFill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0" fontId="4" fillId="3" borderId="0" xfId="0" applyFont="1" applyFill="1" applyBorder="1" applyAlignment="1"/>
    <xf numFmtId="0" fontId="5" fillId="3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0" borderId="0" xfId="0" applyFont="1" applyFill="1" applyBorder="1" applyAlignment="1"/>
    <xf numFmtId="43" fontId="7" fillId="0" borderId="0" xfId="0" applyNumberFormat="1" applyFont="1" applyFill="1" applyBorder="1" applyAlignment="1"/>
    <xf numFmtId="43" fontId="7" fillId="0" borderId="0" xfId="0" applyNumberFormat="1" applyFont="1" applyFill="1" applyBorder="1" applyAlignment="1">
      <alignment horizontal="center"/>
    </xf>
    <xf numFmtId="43" fontId="6" fillId="0" borderId="0" xfId="0" applyNumberFormat="1" applyFont="1" applyFill="1" applyBorder="1" applyAlignment="1">
      <alignment vertical="center"/>
    </xf>
    <xf numFmtId="176" fontId="7" fillId="4" borderId="0" xfId="11" applyNumberFormat="1" applyFont="1" applyFill="1" applyBorder="1" applyAlignment="1">
      <alignment horizontal="center" vertical="center"/>
    </xf>
    <xf numFmtId="10" fontId="6" fillId="5" borderId="0" xfId="0" applyNumberFormat="1" applyFont="1" applyFill="1" applyBorder="1" applyAlignment="1">
      <alignment horizontal="center" vertical="center"/>
    </xf>
    <xf numFmtId="178" fontId="7" fillId="0" borderId="0" xfId="8" applyNumberFormat="1" applyFont="1" applyFill="1" applyBorder="1" applyAlignment="1">
      <alignment horizontal="center" vertical="center"/>
    </xf>
    <xf numFmtId="178" fontId="8" fillId="0" borderId="0" xfId="8" applyNumberFormat="1" applyFont="1" applyFill="1" applyBorder="1" applyAlignment="1">
      <alignment horizontal="center" vertical="center"/>
    </xf>
    <xf numFmtId="10" fontId="1" fillId="5" borderId="0" xfId="0" applyNumberFormat="1" applyFont="1" applyFill="1" applyAlignment="1">
      <alignment horizontal="center" vertical="center"/>
    </xf>
    <xf numFmtId="9" fontId="0" fillId="0" borderId="0" xfId="11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49" fontId="2" fillId="0" borderId="0" xfId="0" applyNumberFormat="1" applyFont="1" applyAlignment="1">
      <alignment horizontal="center" vertical="top"/>
    </xf>
    <xf numFmtId="49" fontId="1" fillId="0" borderId="0" xfId="0" applyNumberFormat="1" applyFont="1" applyFill="1" applyAlignment="1">
      <alignment horizontal="center" vertical="top"/>
    </xf>
    <xf numFmtId="49" fontId="0" fillId="0" borderId="0" xfId="0" applyNumberFormat="1" applyFont="1" applyFill="1" applyAlignment="1">
      <alignment horizontal="center" vertical="top"/>
    </xf>
    <xf numFmtId="0" fontId="2" fillId="0" borderId="0" xfId="0" applyFont="1" applyAlignment="1">
      <alignment horizontal="center" vertical="center"/>
    </xf>
    <xf numFmtId="182" fontId="2" fillId="0" borderId="0" xfId="0" applyNumberFormat="1" applyFont="1" applyAlignment="1">
      <alignment horizontal="center" vertical="top"/>
    </xf>
    <xf numFmtId="0" fontId="2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178" fontId="0" fillId="0" borderId="0" xfId="0" applyNumberFormat="1">
      <alignment vertical="center"/>
    </xf>
    <xf numFmtId="178" fontId="2" fillId="0" borderId="0" xfId="0" applyNumberFormat="1" applyFont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182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Alignment="1">
      <alignment horizontal="center" vertical="top"/>
    </xf>
    <xf numFmtId="180" fontId="2" fillId="0" borderId="0" xfId="0" applyNumberFormat="1" applyFont="1" applyAlignment="1">
      <alignment horizontal="center" vertical="center"/>
    </xf>
    <xf numFmtId="182" fontId="1" fillId="0" borderId="0" xfId="0" applyNumberFormat="1" applyFont="1" applyFill="1" applyAlignment="1">
      <alignment horizontal="center" vertical="top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182" fontId="0" fillId="0" borderId="0" xfId="0" applyNumberFormat="1" applyFont="1" applyFill="1" applyAlignment="1">
      <alignment horizontal="center" vertical="top"/>
    </xf>
    <xf numFmtId="49" fontId="9" fillId="0" borderId="0" xfId="0" applyNumberFormat="1" applyFont="1" applyAlignment="1">
      <alignment horizontal="center" vertical="top"/>
    </xf>
    <xf numFmtId="49" fontId="2" fillId="0" borderId="0" xfId="0" applyNumberFormat="1" applyFont="1" applyAlignment="1">
      <alignment vertical="top"/>
    </xf>
    <xf numFmtId="0" fontId="2" fillId="0" borderId="0" xfId="0" applyFont="1">
      <alignment vertical="center"/>
    </xf>
    <xf numFmtId="176" fontId="1" fillId="0" borderId="0" xfId="11" applyNumberFormat="1" applyFont="1">
      <alignment vertical="center"/>
    </xf>
    <xf numFmtId="0" fontId="2" fillId="6" borderId="0" xfId="0" applyFont="1" applyFill="1">
      <alignment vertical="center"/>
    </xf>
    <xf numFmtId="177" fontId="1" fillId="0" borderId="0" xfId="0" applyNumberFormat="1" applyFont="1" applyAlignment="1">
      <alignment horizontal="center" vertical="center"/>
    </xf>
    <xf numFmtId="180" fontId="1" fillId="0" borderId="0" xfId="0" applyNumberFormat="1" applyFont="1" applyAlignment="1">
      <alignment horizontal="center" vertical="center"/>
    </xf>
    <xf numFmtId="176" fontId="1" fillId="0" borderId="0" xfId="11" applyNumberFormat="1" applyFont="1" applyAlignment="1">
      <alignment horizontal="center" vertical="center"/>
    </xf>
    <xf numFmtId="49" fontId="9" fillId="0" borderId="0" xfId="0" applyNumberFormat="1" applyFont="1" applyAlignment="1">
      <alignment vertical="top"/>
    </xf>
    <xf numFmtId="176" fontId="2" fillId="0" borderId="0" xfId="11" applyNumberFormat="1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9" fontId="2" fillId="0" borderId="0" xfId="1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178" fontId="1" fillId="0" borderId="0" xfId="0" applyNumberFormat="1" applyFont="1">
      <alignment vertical="center"/>
    </xf>
    <xf numFmtId="49" fontId="0" fillId="0" borderId="0" xfId="0" applyNumberFormat="1" applyAlignment="1">
      <alignment horizontal="center" vertical="top"/>
    </xf>
    <xf numFmtId="49" fontId="1" fillId="0" borderId="0" xfId="0" applyNumberFormat="1" applyFont="1" applyAlignment="1">
      <alignment horizontal="center" vertical="top"/>
    </xf>
    <xf numFmtId="49" fontId="1" fillId="7" borderId="0" xfId="0" applyNumberFormat="1" applyFont="1" applyFill="1" applyAlignment="1">
      <alignment horizontal="center" vertical="top"/>
    </xf>
    <xf numFmtId="49" fontId="0" fillId="0" borderId="0" xfId="0" applyNumberFormat="1" applyAlignment="1">
      <alignment vertical="top"/>
    </xf>
    <xf numFmtId="182" fontId="0" fillId="0" borderId="0" xfId="0" applyNumberFormat="1" applyAlignment="1">
      <alignment horizontal="center" vertical="top"/>
    </xf>
    <xf numFmtId="0" fontId="10" fillId="0" borderId="0" xfId="0" applyFont="1">
      <alignment vertical="center"/>
    </xf>
    <xf numFmtId="9" fontId="10" fillId="0" borderId="0" xfId="11" applyFont="1" applyAlignment="1">
      <alignment horizontal="center" vertical="top"/>
    </xf>
    <xf numFmtId="9" fontId="2" fillId="0" borderId="0" xfId="11" applyFont="1" applyAlignment="1">
      <alignment horizontal="center" vertical="top"/>
    </xf>
    <xf numFmtId="180" fontId="2" fillId="0" borderId="0" xfId="11" applyNumberFormat="1" applyFont="1" applyAlignment="1">
      <alignment horizontal="center" vertical="top"/>
    </xf>
    <xf numFmtId="183" fontId="0" fillId="0" borderId="0" xfId="0" applyNumberFormat="1" applyAlignment="1">
      <alignment horizontal="center" vertical="top"/>
    </xf>
    <xf numFmtId="183" fontId="2" fillId="0" borderId="0" xfId="0" applyNumberFormat="1" applyFont="1" applyAlignment="1">
      <alignment horizontal="center" vertical="top"/>
    </xf>
    <xf numFmtId="49" fontId="2" fillId="7" borderId="0" xfId="0" applyNumberFormat="1" applyFont="1" applyFill="1" applyAlignment="1">
      <alignment horizontal="center" vertical="top"/>
    </xf>
    <xf numFmtId="178" fontId="1" fillId="8" borderId="0" xfId="0" applyNumberFormat="1" applyFont="1" applyFill="1" applyAlignment="1">
      <alignment horizontal="center" vertical="center"/>
    </xf>
    <xf numFmtId="178" fontId="1" fillId="7" borderId="0" xfId="0" applyNumberFormat="1" applyFont="1" applyFill="1" applyAlignment="1">
      <alignment horizontal="center" vertical="center"/>
    </xf>
    <xf numFmtId="9" fontId="2" fillId="7" borderId="0" xfId="11" applyFont="1" applyFill="1" applyAlignment="1">
      <alignment horizontal="center" vertical="top"/>
    </xf>
    <xf numFmtId="180" fontId="2" fillId="8" borderId="0" xfId="11" applyNumberFormat="1" applyFont="1" applyFill="1" applyAlignment="1">
      <alignment horizontal="center" vertical="top"/>
    </xf>
    <xf numFmtId="0" fontId="1" fillId="7" borderId="0" xfId="0" applyFont="1" applyFill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9" fontId="0" fillId="7" borderId="0" xfId="0" applyNumberFormat="1" applyFill="1" applyAlignment="1">
      <alignment horizontal="center" vertical="center"/>
    </xf>
    <xf numFmtId="9" fontId="0" fillId="0" borderId="0" xfId="0" applyNumberFormat="1">
      <alignment vertical="center"/>
    </xf>
    <xf numFmtId="9" fontId="0" fillId="7" borderId="0" xfId="0" applyNumberFormat="1" applyFill="1">
      <alignment vertical="center"/>
    </xf>
    <xf numFmtId="176" fontId="2" fillId="0" borderId="0" xfId="11" applyNumberFormat="1" applyFont="1">
      <alignment vertical="center"/>
    </xf>
    <xf numFmtId="176" fontId="0" fillId="0" borderId="0" xfId="11" applyNumberFormat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10" fontId="0" fillId="0" borderId="0" xfId="0" applyNumberFormat="1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15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vertical="center"/>
    </xf>
    <xf numFmtId="9" fontId="2" fillId="0" borderId="0" xfId="11" applyFont="1" applyFill="1" applyAlignment="1">
      <alignment horizontal="center" vertical="top"/>
    </xf>
    <xf numFmtId="9" fontId="1" fillId="0" borderId="0" xfId="0" applyNumberFormat="1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82" fontId="2" fillId="0" borderId="2" xfId="0" applyNumberFormat="1" applyFont="1" applyBorder="1" applyAlignment="1">
      <alignment horizontal="center" vertical="top"/>
    </xf>
    <xf numFmtId="0" fontId="1" fillId="0" borderId="2" xfId="0" applyFont="1" applyBorder="1" applyAlignment="1">
      <alignment horizontal="center" vertical="center"/>
    </xf>
    <xf numFmtId="9" fontId="1" fillId="0" borderId="0" xfId="11" applyNumberFormat="1" applyFont="1" applyAlignment="1">
      <alignment horizontal="center" vertical="center"/>
    </xf>
    <xf numFmtId="9" fontId="1" fillId="0" borderId="0" xfId="11" applyFont="1" applyAlignment="1">
      <alignment horizontal="center" vertical="center"/>
    </xf>
    <xf numFmtId="0" fontId="0" fillId="0" borderId="0" xfId="0" applyFill="1">
      <alignment vertical="center"/>
    </xf>
    <xf numFmtId="0" fontId="15" fillId="4" borderId="3" xfId="0" applyNumberFormat="1" applyFont="1" applyFill="1" applyBorder="1" applyAlignment="1">
      <alignment horizontal="center" vertical="center"/>
    </xf>
    <xf numFmtId="0" fontId="15" fillId="4" borderId="4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5" fillId="4" borderId="5" xfId="0" applyNumberFormat="1" applyFont="1" applyFill="1" applyBorder="1" applyAlignment="1">
      <alignment horizontal="center" vertical="center"/>
    </xf>
    <xf numFmtId="0" fontId="15" fillId="4" borderId="1" xfId="0" applyNumberFormat="1" applyFont="1" applyFill="1" applyBorder="1" applyAlignment="1">
      <alignment horizontal="center" vertical="center"/>
    </xf>
    <xf numFmtId="0" fontId="15" fillId="4" borderId="6" xfId="0" applyNumberFormat="1" applyFont="1" applyFill="1" applyBorder="1" applyAlignment="1">
      <alignment horizontal="center" vertical="center"/>
    </xf>
    <xf numFmtId="0" fontId="15" fillId="0" borderId="0" xfId="0" applyNumberFormat="1" applyFont="1">
      <alignment vertical="center"/>
    </xf>
    <xf numFmtId="0" fontId="15" fillId="0" borderId="7" xfId="0" applyNumberFormat="1" applyFont="1" applyBorder="1">
      <alignment vertical="center"/>
    </xf>
    <xf numFmtId="10" fontId="15" fillId="0" borderId="0" xfId="0" applyNumberFormat="1" applyFont="1" applyAlignment="1">
      <alignment horizontal="center" vertical="center"/>
    </xf>
    <xf numFmtId="10" fontId="15" fillId="0" borderId="8" xfId="0" applyNumberFormat="1" applyFont="1" applyBorder="1" applyAlignment="1">
      <alignment horizontal="center" vertical="center"/>
    </xf>
    <xf numFmtId="0" fontId="15" fillId="0" borderId="9" xfId="0" applyNumberFormat="1" applyFont="1" applyBorder="1">
      <alignment vertical="center"/>
    </xf>
    <xf numFmtId="10" fontId="15" fillId="0" borderId="2" xfId="0" applyNumberFormat="1" applyFont="1" applyBorder="1" applyAlignment="1">
      <alignment horizontal="center" vertical="center"/>
    </xf>
    <xf numFmtId="0" fontId="15" fillId="0" borderId="2" xfId="0" applyNumberFormat="1" applyFont="1" applyBorder="1">
      <alignment vertical="center"/>
    </xf>
    <xf numFmtId="10" fontId="15" fillId="0" borderId="10" xfId="0" applyNumberFormat="1" applyFont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2" borderId="7" xfId="0" applyFont="1" applyFill="1" applyBorder="1">
      <alignment vertical="center"/>
    </xf>
    <xf numFmtId="178" fontId="15" fillId="2" borderId="0" xfId="0" applyNumberFormat="1" applyFont="1" applyFill="1" applyAlignment="1">
      <alignment horizontal="center" vertical="center"/>
    </xf>
    <xf numFmtId="0" fontId="15" fillId="0" borderId="0" xfId="0" applyNumberFormat="1" applyFont="1" applyAlignment="1">
      <alignment horizontal="center" vertical="center"/>
    </xf>
    <xf numFmtId="0" fontId="15" fillId="0" borderId="0" xfId="0" applyFont="1">
      <alignment vertical="center"/>
    </xf>
    <xf numFmtId="0" fontId="15" fillId="0" borderId="7" xfId="0" applyFont="1" applyBorder="1">
      <alignment vertical="center"/>
    </xf>
    <xf numFmtId="178" fontId="15" fillId="0" borderId="0" xfId="0" applyNumberFormat="1" applyFont="1" applyAlignment="1">
      <alignment horizontal="center" vertical="center"/>
    </xf>
    <xf numFmtId="176" fontId="15" fillId="5" borderId="0" xfId="11" applyNumberFormat="1" applyFont="1" applyFill="1" applyAlignment="1">
      <alignment horizontal="center" vertical="center"/>
    </xf>
    <xf numFmtId="178" fontId="15" fillId="5" borderId="0" xfId="11" applyNumberFormat="1" applyFont="1" applyFill="1" applyAlignment="1">
      <alignment horizontal="center" vertical="center"/>
    </xf>
    <xf numFmtId="178" fontId="16" fillId="5" borderId="0" xfId="11" applyNumberFormat="1" applyFont="1" applyFill="1" applyAlignment="1">
      <alignment horizontal="center" vertical="center"/>
    </xf>
    <xf numFmtId="0" fontId="15" fillId="4" borderId="9" xfId="0" applyFont="1" applyFill="1" applyBorder="1">
      <alignment vertical="center"/>
    </xf>
    <xf numFmtId="178" fontId="15" fillId="4" borderId="2" xfId="0" applyNumberFormat="1" applyFont="1" applyFill="1" applyBorder="1" applyAlignment="1">
      <alignment horizontal="center" vertical="center"/>
    </xf>
    <xf numFmtId="0" fontId="15" fillId="4" borderId="11" xfId="0" applyNumberFormat="1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/>
    </xf>
    <xf numFmtId="0" fontId="15" fillId="0" borderId="8" xfId="0" applyFont="1" applyBorder="1">
      <alignment vertical="center"/>
    </xf>
    <xf numFmtId="0" fontId="0" fillId="4" borderId="0" xfId="0" applyFill="1">
      <alignment vertical="center"/>
    </xf>
    <xf numFmtId="0" fontId="0" fillId="4" borderId="0" xfId="0" applyFill="1" applyAlignment="1">
      <alignment horizontal="center" vertical="center"/>
    </xf>
    <xf numFmtId="0" fontId="17" fillId="4" borderId="3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8" fillId="4" borderId="1" xfId="0" applyFont="1" applyFill="1" applyBorder="1">
      <alignment vertical="center"/>
    </xf>
    <xf numFmtId="0" fontId="15" fillId="4" borderId="1" xfId="0" applyFont="1" applyFill="1" applyBorder="1">
      <alignment vertical="center"/>
    </xf>
    <xf numFmtId="0" fontId="15" fillId="4" borderId="7" xfId="0" applyFont="1" applyFill="1" applyBorder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0" fontId="18" fillId="4" borderId="0" xfId="0" applyFont="1" applyFill="1">
      <alignment vertical="center"/>
    </xf>
    <xf numFmtId="0" fontId="15" fillId="4" borderId="0" xfId="0" applyFont="1" applyFill="1" applyAlignment="1">
      <alignment horizontal="center" vertical="center"/>
    </xf>
    <xf numFmtId="0" fontId="15" fillId="4" borderId="0" xfId="0" applyFont="1" applyFill="1">
      <alignment vertical="center"/>
    </xf>
    <xf numFmtId="0" fontId="15" fillId="4" borderId="9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18" fillId="4" borderId="2" xfId="0" applyFont="1" applyFill="1" applyBorder="1">
      <alignment vertical="center"/>
    </xf>
    <xf numFmtId="0" fontId="15" fillId="4" borderId="2" xfId="0" applyFont="1" applyFill="1" applyBorder="1">
      <alignment vertical="center"/>
    </xf>
    <xf numFmtId="0" fontId="18" fillId="4" borderId="0" xfId="0" applyFont="1" applyFill="1" applyAlignment="1">
      <alignment horizontal="center" vertical="center"/>
    </xf>
    <xf numFmtId="178" fontId="15" fillId="4" borderId="1" xfId="0" applyNumberFormat="1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14" fontId="18" fillId="4" borderId="1" xfId="0" applyNumberFormat="1" applyFont="1" applyFill="1" applyBorder="1">
      <alignment vertical="center"/>
    </xf>
    <xf numFmtId="10" fontId="19" fillId="4" borderId="2" xfId="11" applyNumberFormat="1" applyFont="1" applyFill="1" applyBorder="1">
      <alignment vertical="center"/>
    </xf>
    <xf numFmtId="0" fontId="15" fillId="4" borderId="1" xfId="0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center" vertical="center"/>
    </xf>
    <xf numFmtId="0" fontId="15" fillId="4" borderId="0" xfId="0" applyFont="1" applyFill="1" applyAlignment="1">
      <alignment horizontal="left" vertical="center" wrapText="1"/>
    </xf>
    <xf numFmtId="0" fontId="0" fillId="4" borderId="9" xfId="0" applyFill="1" applyBorder="1" applyAlignment="1">
      <alignment horizontal="center" vertical="center"/>
    </xf>
    <xf numFmtId="0" fontId="15" fillId="4" borderId="2" xfId="0" applyFont="1" applyFill="1" applyBorder="1" applyAlignment="1">
      <alignment horizontal="left" vertical="center" wrapText="1"/>
    </xf>
    <xf numFmtId="0" fontId="17" fillId="4" borderId="11" xfId="0" applyFont="1" applyFill="1" applyBorder="1" applyAlignment="1">
      <alignment horizontal="center" vertical="center"/>
    </xf>
    <xf numFmtId="0" fontId="18" fillId="4" borderId="6" xfId="0" applyFont="1" applyFill="1" applyBorder="1">
      <alignment vertical="center"/>
    </xf>
    <xf numFmtId="0" fontId="18" fillId="4" borderId="8" xfId="0" applyFont="1" applyFill="1" applyBorder="1">
      <alignment vertical="center"/>
    </xf>
    <xf numFmtId="0" fontId="18" fillId="4" borderId="10" xfId="0" applyFont="1" applyFill="1" applyBorder="1">
      <alignment vertical="center"/>
    </xf>
    <xf numFmtId="0" fontId="15" fillId="4" borderId="6" xfId="0" applyFont="1" applyFill="1" applyBorder="1" applyAlignment="1">
      <alignment horizontal="left" vertical="center" wrapText="1"/>
    </xf>
    <xf numFmtId="0" fontId="15" fillId="4" borderId="8" xfId="0" applyFont="1" applyFill="1" applyBorder="1" applyAlignment="1">
      <alignment horizontal="left" vertical="center" wrapText="1"/>
    </xf>
    <xf numFmtId="0" fontId="15" fillId="4" borderId="10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theme" Target="theme/theme1.xml"/><Relationship Id="rId17" Type="http://schemas.openxmlformats.org/officeDocument/2006/relationships/externalLink" Target="externalLinks/externalLink3.xml"/><Relationship Id="rId1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楷体" panose="02010609060101010101" charset="-122"/>
                <a:ea typeface="楷体" panose="02010609060101010101" charset="-122"/>
                <a:cs typeface="楷体" panose="02010609060101010101" charset="-122"/>
                <a:sym typeface="楷体" panose="02010609060101010101" charset="-122"/>
              </a:defRPr>
            </a:pPr>
            <a:r>
              <a:rPr>
                <a:latin typeface="楷体" panose="02010609060101010101" charset="-122"/>
                <a:ea typeface="楷体" panose="02010609060101010101" charset="-122"/>
                <a:cs typeface="楷体" panose="02010609060101010101" charset="-122"/>
                <a:sym typeface="楷体" panose="02010609060101010101" charset="-122"/>
              </a:rPr>
              <a:t>中国美容及个人护理行业销售额（亿元）</a:t>
            </a:r>
            <a:endParaRPr>
              <a:latin typeface="楷体" panose="02010609060101010101" charset="-122"/>
              <a:ea typeface="楷体" panose="02010609060101010101" charset="-122"/>
              <a:cs typeface="楷体" panose="02010609060101010101" charset="-122"/>
              <a:sym typeface="楷体" panose="02010609060101010101" charset="-122"/>
            </a:endParaRPr>
          </a:p>
        </c:rich>
      </c:tx>
      <c:layout>
        <c:manualLayout>
          <c:xMode val="edge"/>
          <c:yMode val="edge"/>
          <c:x val="0.144305555555556"/>
          <c:y val="0.0277777777777778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行业1!$B$5</c:f>
              <c:strCache>
                <c:ptCount val="1"/>
                <c:pt idx="0">
                  <c:v>销售额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delete val="1"/>
            </c:dLbl>
            <c:dLbl>
              <c:idx val="13"/>
              <c:delete val="1"/>
            </c:dLbl>
            <c:dLbl>
              <c:idx val="14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行业1!$C$4:$Q$4</c:f>
              <c:numCache>
                <c:formatCode>General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行业1!$C$5:$Q$5</c:f>
              <c:numCache>
                <c:formatCode>General</c:formatCode>
                <c:ptCount val="15"/>
                <c:pt idx="0">
                  <c:v>1480</c:v>
                </c:pt>
                <c:pt idx="1">
                  <c:v>1673</c:v>
                </c:pt>
                <c:pt idx="2">
                  <c:v>1841</c:v>
                </c:pt>
                <c:pt idx="3">
                  <c:v>2045</c:v>
                </c:pt>
                <c:pt idx="4">
                  <c:v>2302</c:v>
                </c:pt>
                <c:pt idx="5">
                  <c:v>2526</c:v>
                </c:pt>
                <c:pt idx="6">
                  <c:v>2756</c:v>
                </c:pt>
                <c:pt idx="7">
                  <c:v>2961</c:v>
                </c:pt>
                <c:pt idx="8">
                  <c:v>3151</c:v>
                </c:pt>
                <c:pt idx="9">
                  <c:v>3339</c:v>
                </c:pt>
                <c:pt idx="10">
                  <c:v>3581</c:v>
                </c:pt>
                <c:pt idx="11">
                  <c:v>3855</c:v>
                </c:pt>
                <c:pt idx="12">
                  <c:v>4159</c:v>
                </c:pt>
                <c:pt idx="13">
                  <c:v>4495</c:v>
                </c:pt>
                <c:pt idx="14">
                  <c:v>4859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3985217"/>
        <c:axId val="520914759"/>
      </c:barChart>
      <c:lineChart>
        <c:grouping val="standard"/>
        <c:varyColors val="0"/>
        <c:ser>
          <c:idx val="1"/>
          <c:order val="1"/>
          <c:tx>
            <c:strRef>
              <c:f>行业1!$B$6</c:f>
              <c:strCache>
                <c:ptCount val="1"/>
                <c:pt idx="0">
                  <c:v>销售增速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行业1!$C$4:$Q$4</c:f>
              <c:numCache>
                <c:formatCode>General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行业1!$C$6:$Q$6</c:f>
              <c:numCache>
                <c:formatCode>General</c:formatCode>
                <c:ptCount val="15"/>
                <c:pt idx="1" c:formatCode="0.0%">
                  <c:v>0.130405405405405</c:v>
                </c:pt>
                <c:pt idx="2" c:formatCode="0.0%">
                  <c:v>0.100418410041841</c:v>
                </c:pt>
                <c:pt idx="3" c:formatCode="0.0%">
                  <c:v>0.110809342748506</c:v>
                </c:pt>
                <c:pt idx="4" c:formatCode="0.0%">
                  <c:v>0.125672371638142</c:v>
                </c:pt>
                <c:pt idx="5" c:formatCode="0.0%">
                  <c:v>0.0973066898349262</c:v>
                </c:pt>
                <c:pt idx="6" c:formatCode="0.0%">
                  <c:v>0.0910530482977039</c:v>
                </c:pt>
                <c:pt idx="7" c:formatCode="0.0%">
                  <c:v>0.0743831640058055</c:v>
                </c:pt>
                <c:pt idx="8" c:formatCode="0.0%">
                  <c:v>0.0641675109760216</c:v>
                </c:pt>
                <c:pt idx="9" c:formatCode="0.0%">
                  <c:v>0.0596635988575056</c:v>
                </c:pt>
                <c:pt idx="10" c:formatCode="0.0%">
                  <c:v>0.0724767894579215</c:v>
                </c:pt>
                <c:pt idx="11" c:formatCode="0.0%">
                  <c:v>0.0765149399609049</c:v>
                </c:pt>
                <c:pt idx="12" c:formatCode="0.0%">
                  <c:v>0.078858625162127</c:v>
                </c:pt>
                <c:pt idx="13" c:formatCode="0.0%">
                  <c:v>0.0807886511180573</c:v>
                </c:pt>
                <c:pt idx="14" c:formatCode="0.0%">
                  <c:v>0.0809788654060066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408574277"/>
        <c:axId val="638129654"/>
      </c:lineChart>
      <c:catAx>
        <c:axId val="16398521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20914759"/>
        <c:crosses val="autoZero"/>
        <c:auto val="1"/>
        <c:lblAlgn val="ctr"/>
        <c:lblOffset val="100"/>
        <c:noMultiLvlLbl val="0"/>
      </c:catAx>
      <c:valAx>
        <c:axId val="520914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63985217"/>
        <c:crosses val="autoZero"/>
        <c:crossBetween val="between"/>
      </c:valAx>
      <c:catAx>
        <c:axId val="408574277"/>
        <c:scaling>
          <c:orientation val="minMax"/>
        </c:scaling>
        <c:delete val="1"/>
        <c:axPos val="b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638129654"/>
        <c:crosses val="autoZero"/>
        <c:auto val="1"/>
        <c:lblAlgn val="ctr"/>
        <c:lblOffset val="100"/>
        <c:noMultiLvlLbl val="0"/>
      </c:catAx>
      <c:valAx>
        <c:axId val="63812965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8574277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楷体" panose="02010609060101010101" charset="-122"/>
                <a:ea typeface="楷体" panose="02010609060101010101" charset="-122"/>
                <a:cs typeface="楷体" panose="02010609060101010101" charset="-122"/>
                <a:sym typeface="楷体" panose="02010609060101010101" charset="-122"/>
              </a:defRPr>
            </a:pPr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楷体" panose="02010609060101010101" charset="-122"/>
                <a:ea typeface="楷体" panose="02010609060101010101" charset="-122"/>
                <a:cs typeface="楷体" panose="02010609060101010101" charset="-122"/>
                <a:sym typeface="楷体" panose="02010609060101010101" charset="-122"/>
              </a:defRPr>
            </a:pPr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楷体" panose="02010609060101010101" charset="-122"/>
              <a:ea typeface="楷体" panose="02010609060101010101" charset="-122"/>
              <a:cs typeface="楷体" panose="02010609060101010101" charset="-122"/>
              <a:sym typeface="楷体" panose="02010609060101010101" charset="-122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3" Type="http://schemas.openxmlformats.org/officeDocument/2006/relationships/image" Target="../media/image2.png"/><Relationship Id="rId20" Type="http://schemas.openxmlformats.org/officeDocument/2006/relationships/image" Target="../media/image19.png"/><Relationship Id="rId2" Type="http://schemas.openxmlformats.org/officeDocument/2006/relationships/image" Target="../media/image1.png"/><Relationship Id="rId19" Type="http://schemas.openxmlformats.org/officeDocument/2006/relationships/image" Target="../media/image18.png"/><Relationship Id="rId18" Type="http://schemas.openxmlformats.org/officeDocument/2006/relationships/image" Target="../media/image17.png"/><Relationship Id="rId17" Type="http://schemas.openxmlformats.org/officeDocument/2006/relationships/image" Target="../media/image16.png"/><Relationship Id="rId16" Type="http://schemas.openxmlformats.org/officeDocument/2006/relationships/image" Target="../media/image15.png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pn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28.png"/><Relationship Id="rId8" Type="http://schemas.openxmlformats.org/officeDocument/2006/relationships/image" Target="../media/image27.png"/><Relationship Id="rId7" Type="http://schemas.openxmlformats.org/officeDocument/2006/relationships/image" Target="../media/image26.png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1" Type="http://schemas.openxmlformats.org/officeDocument/2006/relationships/image" Target="../media/image30.png"/><Relationship Id="rId10" Type="http://schemas.openxmlformats.org/officeDocument/2006/relationships/image" Target="../media/image29.png"/><Relationship Id="rId1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6" Type="http://schemas.openxmlformats.org/officeDocument/2006/relationships/image" Target="../media/image36.png"/><Relationship Id="rId5" Type="http://schemas.openxmlformats.org/officeDocument/2006/relationships/image" Target="../media/image35.png"/><Relationship Id="rId4" Type="http://schemas.openxmlformats.org/officeDocument/2006/relationships/image" Target="../media/image34.png"/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5" Type="http://schemas.openxmlformats.org/officeDocument/2006/relationships/image" Target="../media/image41.png"/><Relationship Id="rId4" Type="http://schemas.openxmlformats.org/officeDocument/2006/relationships/image" Target="../media/image40.png"/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923925</xdr:colOff>
      <xdr:row>40</xdr:row>
      <xdr:rowOff>76200</xdr:rowOff>
    </xdr:from>
    <xdr:to>
      <xdr:col>9</xdr:col>
      <xdr:colOff>3248025</xdr:colOff>
      <xdr:row>57</xdr:row>
      <xdr:rowOff>47625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20000" y="7134225"/>
          <a:ext cx="3286125" cy="2886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22</xdr:row>
      <xdr:rowOff>104775</xdr:rowOff>
    </xdr:from>
    <xdr:to>
      <xdr:col>13</xdr:col>
      <xdr:colOff>352425</xdr:colOff>
      <xdr:row>37</xdr:row>
      <xdr:rowOff>133350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58100" y="4076700"/>
          <a:ext cx="7791450" cy="260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13</xdr:col>
      <xdr:colOff>755650</xdr:colOff>
      <xdr:row>8</xdr:row>
      <xdr:rowOff>107950</xdr:rowOff>
    </xdr:from>
    <xdr:to>
      <xdr:col>19</xdr:col>
      <xdr:colOff>193675</xdr:colOff>
      <xdr:row>24</xdr:row>
      <xdr:rowOff>107950</xdr:rowOff>
    </xdr:to>
    <xdr:graphicFrame>
      <xdr:nvGraphicFramePr>
        <xdr:cNvPr id="5" name="图表 4"/>
        <xdr:cNvGraphicFramePr/>
      </xdr:nvGraphicFramePr>
      <xdr:xfrm>
        <a:off x="15852775" y="1479550"/>
        <a:ext cx="4572000" cy="2943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676275</xdr:colOff>
      <xdr:row>17</xdr:row>
      <xdr:rowOff>152400</xdr:rowOff>
    </xdr:from>
    <xdr:to>
      <xdr:col>8</xdr:col>
      <xdr:colOff>448310</xdr:colOff>
      <xdr:row>31</xdr:row>
      <xdr:rowOff>4445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76275" y="3209925"/>
          <a:ext cx="6468110" cy="2309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723900</xdr:colOff>
      <xdr:row>9</xdr:row>
      <xdr:rowOff>123825</xdr:rowOff>
    </xdr:from>
    <xdr:to>
      <xdr:col>9</xdr:col>
      <xdr:colOff>3914775</xdr:colOff>
      <xdr:row>13</xdr:row>
      <xdr:rowOff>76200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743325" y="1666875"/>
          <a:ext cx="7829550" cy="69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76200</xdr:colOff>
      <xdr:row>34</xdr:row>
      <xdr:rowOff>41910</xdr:rowOff>
    </xdr:from>
    <xdr:to>
      <xdr:col>8</xdr:col>
      <xdr:colOff>686435</xdr:colOff>
      <xdr:row>57</xdr:row>
      <xdr:rowOff>66675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62000" y="6071235"/>
          <a:ext cx="6620510" cy="3968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</xdr:colOff>
      <xdr:row>61</xdr:row>
      <xdr:rowOff>152400</xdr:rowOff>
    </xdr:from>
    <xdr:to>
      <xdr:col>12</xdr:col>
      <xdr:colOff>396875</xdr:colOff>
      <xdr:row>84</xdr:row>
      <xdr:rowOff>86360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867275" y="10810875"/>
          <a:ext cx="9664700" cy="3877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3295650</xdr:colOff>
      <xdr:row>38</xdr:row>
      <xdr:rowOff>47625</xdr:rowOff>
    </xdr:from>
    <xdr:to>
      <xdr:col>16</xdr:col>
      <xdr:colOff>313055</xdr:colOff>
      <xdr:row>57</xdr:row>
      <xdr:rowOff>55880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953750" y="6762750"/>
          <a:ext cx="7256780" cy="3265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447675</xdr:colOff>
      <xdr:row>58</xdr:row>
      <xdr:rowOff>9525</xdr:rowOff>
    </xdr:from>
    <xdr:to>
      <xdr:col>30</xdr:col>
      <xdr:colOff>38100</xdr:colOff>
      <xdr:row>98</xdr:row>
      <xdr:rowOff>95250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4582775" y="10153650"/>
          <a:ext cx="13230225" cy="6943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142875</xdr:colOff>
      <xdr:row>85</xdr:row>
      <xdr:rowOff>38100</xdr:rowOff>
    </xdr:from>
    <xdr:to>
      <xdr:col>12</xdr:col>
      <xdr:colOff>402590</xdr:colOff>
      <xdr:row>109</xdr:row>
      <xdr:rowOff>19050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038600" y="14811375"/>
          <a:ext cx="10499090" cy="409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561975</xdr:colOff>
      <xdr:row>99</xdr:row>
      <xdr:rowOff>47625</xdr:rowOff>
    </xdr:from>
    <xdr:to>
      <xdr:col>23</xdr:col>
      <xdr:colOff>495300</xdr:colOff>
      <xdr:row>128</xdr:row>
      <xdr:rowOff>114300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4697075" y="17221200"/>
          <a:ext cx="8772525" cy="503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447675</xdr:colOff>
      <xdr:row>109</xdr:row>
      <xdr:rowOff>170815</xdr:rowOff>
    </xdr:from>
    <xdr:to>
      <xdr:col>12</xdr:col>
      <xdr:colOff>227965</xdr:colOff>
      <xdr:row>140</xdr:row>
      <xdr:rowOff>57150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43400" y="19058890"/>
          <a:ext cx="10019665" cy="5201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628650</xdr:colOff>
      <xdr:row>130</xdr:row>
      <xdr:rowOff>9525</xdr:rowOff>
    </xdr:from>
    <xdr:to>
      <xdr:col>30</xdr:col>
      <xdr:colOff>180975</xdr:colOff>
      <xdr:row>158</xdr:row>
      <xdr:rowOff>161925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4763750" y="22498050"/>
          <a:ext cx="13192125" cy="4953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514350</xdr:colOff>
      <xdr:row>140</xdr:row>
      <xdr:rowOff>149860</xdr:rowOff>
    </xdr:from>
    <xdr:to>
      <xdr:col>11</xdr:col>
      <xdr:colOff>429260</xdr:colOff>
      <xdr:row>161</xdr:row>
      <xdr:rowOff>47625</xdr:rowOff>
    </xdr:to>
    <xdr:pic>
      <xdr:nvPicPr>
        <xdr:cNvPr id="16" name="图片 1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410075" y="24352885"/>
          <a:ext cx="9192260" cy="3498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504825</xdr:colOff>
      <xdr:row>161</xdr:row>
      <xdr:rowOff>171450</xdr:rowOff>
    </xdr:from>
    <xdr:to>
      <xdr:col>11</xdr:col>
      <xdr:colOff>19050</xdr:colOff>
      <xdr:row>190</xdr:row>
      <xdr:rowOff>114300</xdr:rowOff>
    </xdr:to>
    <xdr:pic>
      <xdr:nvPicPr>
        <xdr:cNvPr id="17" name="图片 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400550" y="27974925"/>
          <a:ext cx="8791575" cy="5057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228600</xdr:colOff>
      <xdr:row>188</xdr:row>
      <xdr:rowOff>104775</xdr:rowOff>
    </xdr:from>
    <xdr:to>
      <xdr:col>10</xdr:col>
      <xdr:colOff>714375</xdr:colOff>
      <xdr:row>226</xdr:row>
      <xdr:rowOff>142875</xdr:rowOff>
    </xdr:to>
    <xdr:pic>
      <xdr:nvPicPr>
        <xdr:cNvPr id="18" name="图片 1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124325" y="32680275"/>
          <a:ext cx="8801100" cy="6553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781050</xdr:colOff>
      <xdr:row>188</xdr:row>
      <xdr:rowOff>152400</xdr:rowOff>
    </xdr:from>
    <xdr:to>
      <xdr:col>21</xdr:col>
      <xdr:colOff>85725</xdr:colOff>
      <xdr:row>227</xdr:row>
      <xdr:rowOff>76200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2992100" y="32727900"/>
          <a:ext cx="8696325" cy="6610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209550</xdr:colOff>
      <xdr:row>229</xdr:row>
      <xdr:rowOff>104775</xdr:rowOff>
    </xdr:from>
    <xdr:to>
      <xdr:col>9</xdr:col>
      <xdr:colOff>3057525</xdr:colOff>
      <xdr:row>257</xdr:row>
      <xdr:rowOff>142875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105275" y="39709725"/>
          <a:ext cx="6610350" cy="4838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3171825</xdr:colOff>
      <xdr:row>230</xdr:row>
      <xdr:rowOff>66675</xdr:rowOff>
    </xdr:from>
    <xdr:to>
      <xdr:col>15</xdr:col>
      <xdr:colOff>304800</xdr:colOff>
      <xdr:row>261</xdr:row>
      <xdr:rowOff>85725</xdr:rowOff>
    </xdr:to>
    <xdr:pic>
      <xdr:nvPicPr>
        <xdr:cNvPr id="21" name="图片 2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0829925" y="39843075"/>
          <a:ext cx="6410325" cy="5334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0</xdr:colOff>
      <xdr:row>231</xdr:row>
      <xdr:rowOff>0</xdr:rowOff>
    </xdr:from>
    <xdr:to>
      <xdr:col>35</xdr:col>
      <xdr:colOff>361950</xdr:colOff>
      <xdr:row>264</xdr:row>
      <xdr:rowOff>47625</xdr:rowOff>
    </xdr:to>
    <xdr:pic>
      <xdr:nvPicPr>
        <xdr:cNvPr id="22" name="图片 2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7897475" y="39947850"/>
          <a:ext cx="13668375" cy="57054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28575</xdr:colOff>
      <xdr:row>0</xdr:row>
      <xdr:rowOff>9525</xdr:rowOff>
    </xdr:from>
    <xdr:to>
      <xdr:col>9</xdr:col>
      <xdr:colOff>80010</xdr:colOff>
      <xdr:row>17</xdr:row>
      <xdr:rowOff>137160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4375" y="9525"/>
          <a:ext cx="5537835" cy="3042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152400</xdr:colOff>
      <xdr:row>0</xdr:row>
      <xdr:rowOff>635</xdr:rowOff>
    </xdr:from>
    <xdr:to>
      <xdr:col>17</xdr:col>
      <xdr:colOff>152400</xdr:colOff>
      <xdr:row>11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24600" y="635"/>
          <a:ext cx="5486400" cy="1885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514350</xdr:colOff>
      <xdr:row>0</xdr:row>
      <xdr:rowOff>19685</xdr:rowOff>
    </xdr:from>
    <xdr:to>
      <xdr:col>25</xdr:col>
      <xdr:colOff>487680</xdr:colOff>
      <xdr:row>14</xdr:row>
      <xdr:rowOff>141605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172950" y="19685"/>
          <a:ext cx="5459730" cy="2522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190500</xdr:colOff>
      <xdr:row>19</xdr:row>
      <xdr:rowOff>47625</xdr:rowOff>
    </xdr:from>
    <xdr:to>
      <xdr:col>9</xdr:col>
      <xdr:colOff>212725</xdr:colOff>
      <xdr:row>42</xdr:row>
      <xdr:rowOff>162560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76300" y="3305175"/>
          <a:ext cx="5508625" cy="4058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171450</xdr:colOff>
      <xdr:row>19</xdr:row>
      <xdr:rowOff>38100</xdr:rowOff>
    </xdr:from>
    <xdr:to>
      <xdr:col>17</xdr:col>
      <xdr:colOff>152400</xdr:colOff>
      <xdr:row>30</xdr:row>
      <xdr:rowOff>76200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43650" y="3295650"/>
          <a:ext cx="5467350" cy="1924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247650</xdr:colOff>
      <xdr:row>30</xdr:row>
      <xdr:rowOff>95250</xdr:rowOff>
    </xdr:from>
    <xdr:to>
      <xdr:col>17</xdr:col>
      <xdr:colOff>224790</xdr:colOff>
      <xdr:row>41</xdr:row>
      <xdr:rowOff>140970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419850" y="5238750"/>
          <a:ext cx="5463540" cy="1931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419100</xdr:colOff>
      <xdr:row>18</xdr:row>
      <xdr:rowOff>161925</xdr:rowOff>
    </xdr:from>
    <xdr:to>
      <xdr:col>25</xdr:col>
      <xdr:colOff>424180</xdr:colOff>
      <xdr:row>42</xdr:row>
      <xdr:rowOff>151765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077700" y="3248025"/>
          <a:ext cx="5491480" cy="4104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142875</xdr:colOff>
      <xdr:row>44</xdr:row>
      <xdr:rowOff>0</xdr:rowOff>
    </xdr:from>
    <xdr:to>
      <xdr:col>9</xdr:col>
      <xdr:colOff>161925</xdr:colOff>
      <xdr:row>67</xdr:row>
      <xdr:rowOff>145415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28675" y="7543800"/>
          <a:ext cx="5505450" cy="408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133350</xdr:colOff>
      <xdr:row>44</xdr:row>
      <xdr:rowOff>47625</xdr:rowOff>
    </xdr:from>
    <xdr:to>
      <xdr:col>17</xdr:col>
      <xdr:colOff>99060</xdr:colOff>
      <xdr:row>55</xdr:row>
      <xdr:rowOff>41910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305550" y="7591425"/>
          <a:ext cx="5452110" cy="1880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304800</xdr:colOff>
      <xdr:row>44</xdr:row>
      <xdr:rowOff>85725</xdr:rowOff>
    </xdr:from>
    <xdr:to>
      <xdr:col>25</xdr:col>
      <xdr:colOff>293370</xdr:colOff>
      <xdr:row>59</xdr:row>
      <xdr:rowOff>62865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963400" y="7629525"/>
          <a:ext cx="5474970" cy="254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209550</xdr:colOff>
      <xdr:row>55</xdr:row>
      <xdr:rowOff>47625</xdr:rowOff>
    </xdr:from>
    <xdr:to>
      <xdr:col>17</xdr:col>
      <xdr:colOff>247650</xdr:colOff>
      <xdr:row>68</xdr:row>
      <xdr:rowOff>66675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381750" y="9477375"/>
          <a:ext cx="5524500" cy="22479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523875</xdr:colOff>
      <xdr:row>0</xdr:row>
      <xdr:rowOff>635</xdr:rowOff>
    </xdr:from>
    <xdr:to>
      <xdr:col>12</xdr:col>
      <xdr:colOff>428625</xdr:colOff>
      <xdr:row>42</xdr:row>
      <xdr:rowOff>105410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75" y="635"/>
          <a:ext cx="8134350" cy="7305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24</xdr:col>
      <xdr:colOff>304800</xdr:colOff>
      <xdr:row>28</xdr:row>
      <xdr:rowOff>47625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915400" y="171450"/>
          <a:ext cx="7848600" cy="4676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76200</xdr:colOff>
      <xdr:row>29</xdr:row>
      <xdr:rowOff>66675</xdr:rowOff>
    </xdr:from>
    <xdr:to>
      <xdr:col>23</xdr:col>
      <xdr:colOff>352425</xdr:colOff>
      <xdr:row>47</xdr:row>
      <xdr:rowOff>66675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991600" y="5038725"/>
          <a:ext cx="7134225" cy="3086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12</xdr:col>
      <xdr:colOff>171450</xdr:colOff>
      <xdr:row>53</xdr:row>
      <xdr:rowOff>142875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85800" y="7543800"/>
          <a:ext cx="7715250" cy="1685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0</xdr:colOff>
      <xdr:row>48</xdr:row>
      <xdr:rowOff>0</xdr:rowOff>
    </xdr:from>
    <xdr:to>
      <xdr:col>24</xdr:col>
      <xdr:colOff>381000</xdr:colOff>
      <xdr:row>59</xdr:row>
      <xdr:rowOff>133350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915400" y="8229600"/>
          <a:ext cx="7924800" cy="2019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12</xdr:col>
      <xdr:colOff>266700</xdr:colOff>
      <xdr:row>70</xdr:row>
      <xdr:rowOff>66675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85800" y="9429750"/>
          <a:ext cx="7810500" cy="26384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10</xdr:col>
      <xdr:colOff>152400</xdr:colOff>
      <xdr:row>29</xdr:row>
      <xdr:rowOff>142875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33450" y="47625"/>
          <a:ext cx="6076950" cy="5067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180975</xdr:colOff>
      <xdr:row>0</xdr:row>
      <xdr:rowOff>635</xdr:rowOff>
    </xdr:from>
    <xdr:to>
      <xdr:col>18</xdr:col>
      <xdr:colOff>600075</xdr:colOff>
      <xdr:row>37</xdr:row>
      <xdr:rowOff>67310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038975" y="635"/>
          <a:ext cx="5905500" cy="641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285750</xdr:colOff>
      <xdr:row>30</xdr:row>
      <xdr:rowOff>152400</xdr:rowOff>
    </xdr:from>
    <xdr:to>
      <xdr:col>9</xdr:col>
      <xdr:colOff>609600</xdr:colOff>
      <xdr:row>35</xdr:row>
      <xdr:rowOff>123825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71550" y="5295900"/>
          <a:ext cx="5810250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314325</xdr:colOff>
      <xdr:row>35</xdr:row>
      <xdr:rowOff>114300</xdr:rowOff>
    </xdr:from>
    <xdr:to>
      <xdr:col>9</xdr:col>
      <xdr:colOff>600075</xdr:colOff>
      <xdr:row>38</xdr:row>
      <xdr:rowOff>19050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0125" y="6115050"/>
          <a:ext cx="577215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47625</xdr:colOff>
      <xdr:row>37</xdr:row>
      <xdr:rowOff>133350</xdr:rowOff>
    </xdr:from>
    <xdr:to>
      <xdr:col>18</xdr:col>
      <xdr:colOff>542925</xdr:colOff>
      <xdr:row>51</xdr:row>
      <xdr:rowOff>66675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905625" y="6477000"/>
          <a:ext cx="5981700" cy="23336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676275</xdr:colOff>
      <xdr:row>7</xdr:row>
      <xdr:rowOff>114300</xdr:rowOff>
    </xdr:from>
    <xdr:to>
      <xdr:col>13</xdr:col>
      <xdr:colOff>266700</xdr:colOff>
      <xdr:row>22</xdr:row>
      <xdr:rowOff>9525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62075" y="1314450"/>
          <a:ext cx="7820025" cy="24669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032;&#28010;&#36130;&#36947;H\&#20844;&#21496;\&#28207;&#32929;\&#38134;&#22825;&#19979;\&#30005;&#21147;&#20844;&#21496;&#36130;&#21153;&#39044;&#27979;&#19982;&#20272;&#20540;&#27169;&#22411;-&#31572;&#2669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237;&#36164;\&#30693;&#35782;&#20184;&#36153;&#20107;&#19994;&#37096;\&#20184;&#36153;&#39033;&#30446;\&#20010;&#32929;&#30740;&#31350;\&#31185;&#22823;&#35759;&#39134;\&#31185;&#22823;&#35759;&#39134;&#36130;&#21153;&#20272;&#20540;&#27169;&#22411;20199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sl\Desktop\&#19978;&#28023;&#23478;&#21270;&#36130;&#21153;&#20272;&#20540;&#27169;&#22411;(&#31215;&#26497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tents"/>
      <sheetName val="Revenues"/>
      <sheetName val="PP&amp;E"/>
      <sheetName val="Financing"/>
      <sheetName val="Cals"/>
      <sheetName val="IS"/>
      <sheetName val="BS"/>
      <sheetName val="CFS"/>
      <sheetName val="Ratios"/>
      <sheetName val="DCF"/>
      <sheetName val="Comps"/>
      <sheetName val="1.1核心业务模型-安全边际"/>
      <sheetName val="1.核心业务模型-乐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DCF估值结果"/>
      <sheetName val="经营业绩"/>
      <sheetName val="利润表预测"/>
      <sheetName val="利润表费率假设"/>
      <sheetName val="开放及消费者服务"/>
      <sheetName val="智慧城市"/>
      <sheetName val="智慧教育"/>
      <sheetName val="智慧政法"/>
      <sheetName val="智慧医疗"/>
      <sheetName val="智能汽车智能服务"/>
      <sheetName val="资产负债表假设"/>
      <sheetName val="基础资产负债表"/>
      <sheetName val="现金流量表"/>
      <sheetName val="资产负债表预测"/>
      <sheetName val="IS"/>
      <sheetName val="BS"/>
      <sheetName val="CS"/>
      <sheetName val="DCF估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0">
          <cell r="C20" t="str">
            <v>适用折现率：</v>
          </cell>
        </row>
        <row r="21">
          <cell r="C21" t="str">
            <v>永续增长率g</v>
          </cell>
        </row>
        <row r="22">
          <cell r="C22" t="str">
            <v>税后债务成本率</v>
          </cell>
        </row>
        <row r="23">
          <cell r="C23" t="str">
            <v>股权成本率</v>
          </cell>
        </row>
        <row r="24">
          <cell r="C24" t="str">
            <v>无风险报酬率</v>
          </cell>
        </row>
        <row r="25">
          <cell r="C25" t="str">
            <v>风险补偿率</v>
          </cell>
        </row>
        <row r="26">
          <cell r="C26" t="str">
            <v>贝塔系数</v>
          </cell>
        </row>
        <row r="27">
          <cell r="C27" t="str">
            <v>目标资本结构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DCF估值结果 "/>
      <sheetName val="业务模型"/>
      <sheetName val="行业1"/>
      <sheetName val="行业2"/>
      <sheetName val="2017"/>
      <sheetName val="2018"/>
      <sheetName val="生产产能"/>
      <sheetName val="资产负债表假设"/>
      <sheetName val="资本开支假设"/>
      <sheetName val="IS"/>
      <sheetName val="BS"/>
      <sheetName val="CS"/>
      <sheetName val="DCF估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2"/>
  <sheetViews>
    <sheetView workbookViewId="0">
      <selection activeCell="I8" sqref="I8"/>
    </sheetView>
  </sheetViews>
  <sheetFormatPr defaultColWidth="9" defaultRowHeight="13.5"/>
  <cols>
    <col min="3" max="3" width="28.5" style="1" customWidth="1"/>
    <col min="4" max="4" width="30.125" customWidth="1"/>
    <col min="5" max="5" width="18.25" customWidth="1"/>
    <col min="6" max="6" width="13.75" customWidth="1"/>
    <col min="7" max="7" width="12.875" customWidth="1"/>
    <col min="8" max="8" width="13.75"/>
  </cols>
  <sheetData>
    <row r="1" ht="20" customHeight="1" spans="1:17">
      <c r="A1" s="134"/>
      <c r="B1" s="134"/>
      <c r="C1" s="135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</row>
    <row r="2" ht="20" customHeight="1" spans="1:17">
      <c r="A2" s="134"/>
      <c r="B2" s="134"/>
      <c r="C2" s="135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</row>
    <row r="3" ht="28" customHeight="1" spans="1:17">
      <c r="A3" s="134"/>
      <c r="B3" s="134"/>
      <c r="C3" s="136" t="s">
        <v>0</v>
      </c>
      <c r="D3" s="137"/>
      <c r="E3" s="137"/>
      <c r="F3" s="137"/>
      <c r="G3" s="137"/>
      <c r="H3" s="137"/>
      <c r="I3" s="137"/>
      <c r="J3" s="160"/>
      <c r="K3" s="134"/>
      <c r="L3" s="134"/>
      <c r="M3" s="134"/>
      <c r="N3" s="134"/>
      <c r="O3" s="134"/>
      <c r="P3" s="134"/>
      <c r="Q3" s="134"/>
    </row>
    <row r="4" ht="20" customHeight="1" spans="1:17">
      <c r="A4" s="134"/>
      <c r="B4" s="134"/>
      <c r="C4" s="135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</row>
    <row r="5" ht="20" customHeight="1" spans="1:17">
      <c r="A5" s="134"/>
      <c r="B5" s="134"/>
      <c r="C5" s="138" t="s">
        <v>1</v>
      </c>
      <c r="D5" s="119" t="s">
        <v>2</v>
      </c>
      <c r="E5" s="139"/>
      <c r="F5" s="119" t="s">
        <v>3</v>
      </c>
      <c r="G5" s="140" t="s">
        <v>4</v>
      </c>
      <c r="H5" s="139"/>
      <c r="I5" s="139"/>
      <c r="J5" s="161"/>
      <c r="K5" s="134"/>
      <c r="L5" s="134"/>
      <c r="M5" s="134"/>
      <c r="N5" s="134"/>
      <c r="O5" s="134"/>
      <c r="P5" s="134"/>
      <c r="Q5" s="134"/>
    </row>
    <row r="6" ht="20" customHeight="1" spans="1:17">
      <c r="A6" s="134"/>
      <c r="B6" s="134"/>
      <c r="C6" s="141" t="s">
        <v>5</v>
      </c>
      <c r="D6" s="142">
        <v>43796</v>
      </c>
      <c r="E6" s="143"/>
      <c r="F6" s="144" t="s">
        <v>6</v>
      </c>
      <c r="G6" s="145">
        <v>600315</v>
      </c>
      <c r="H6" s="143"/>
      <c r="I6" s="143"/>
      <c r="J6" s="162"/>
      <c r="K6" s="134"/>
      <c r="L6" s="134"/>
      <c r="M6" s="134"/>
      <c r="N6" s="134"/>
      <c r="O6" s="134"/>
      <c r="P6" s="134"/>
      <c r="Q6" s="134"/>
    </row>
    <row r="7" ht="20" customHeight="1" spans="1:17">
      <c r="A7" s="134"/>
      <c r="B7" s="134"/>
      <c r="C7" s="146" t="s">
        <v>7</v>
      </c>
      <c r="D7" s="147" t="s">
        <v>8</v>
      </c>
      <c r="E7" s="148"/>
      <c r="F7" s="147" t="s">
        <v>9</v>
      </c>
      <c r="G7" s="149" t="s">
        <v>10</v>
      </c>
      <c r="H7" s="148"/>
      <c r="I7" s="148"/>
      <c r="J7" s="163"/>
      <c r="K7" s="134"/>
      <c r="L7" s="134"/>
      <c r="M7" s="134"/>
      <c r="N7" s="134"/>
      <c r="O7" s="134"/>
      <c r="P7" s="134"/>
      <c r="Q7" s="134"/>
    </row>
    <row r="8" ht="20" customHeight="1" spans="1:17">
      <c r="A8" s="134"/>
      <c r="B8" s="134"/>
      <c r="C8" s="150"/>
      <c r="D8" s="143"/>
      <c r="E8" s="143"/>
      <c r="F8" s="143"/>
      <c r="G8" s="143"/>
      <c r="H8" s="143"/>
      <c r="I8" s="143"/>
      <c r="J8" s="143"/>
      <c r="K8" s="134"/>
      <c r="L8" s="134"/>
      <c r="M8" s="134"/>
      <c r="N8" s="134"/>
      <c r="O8" s="134"/>
      <c r="P8" s="134"/>
      <c r="Q8" s="134"/>
    </row>
    <row r="9" ht="20" customHeight="1" spans="1:17">
      <c r="A9" s="134"/>
      <c r="B9" s="134"/>
      <c r="C9" s="150"/>
      <c r="D9" s="143"/>
      <c r="E9" s="143"/>
      <c r="F9" s="143"/>
      <c r="G9" s="143"/>
      <c r="H9" s="143"/>
      <c r="I9" s="143"/>
      <c r="J9" s="143"/>
      <c r="K9" s="134"/>
      <c r="L9" s="134"/>
      <c r="M9" s="134"/>
      <c r="N9" s="134"/>
      <c r="O9" s="134"/>
      <c r="P9" s="134"/>
      <c r="Q9" s="134"/>
    </row>
    <row r="10" ht="20" customHeight="1" spans="1:17">
      <c r="A10" s="134"/>
      <c r="B10" s="134"/>
      <c r="C10" s="138" t="s">
        <v>11</v>
      </c>
      <c r="D10" s="151">
        <v>30.6</v>
      </c>
      <c r="E10" s="139" t="s">
        <v>12</v>
      </c>
      <c r="F10" s="139">
        <v>31.03</v>
      </c>
      <c r="G10" s="152" t="s">
        <v>13</v>
      </c>
      <c r="H10" s="153">
        <v>43837</v>
      </c>
      <c r="I10" s="139"/>
      <c r="J10" s="161"/>
      <c r="K10" s="134"/>
      <c r="L10" s="134"/>
      <c r="M10" s="134"/>
      <c r="N10" s="134"/>
      <c r="O10" s="134"/>
      <c r="P10" s="134"/>
      <c r="Q10" s="134"/>
    </row>
    <row r="11" ht="20" customHeight="1" spans="1:17">
      <c r="A11" s="134"/>
      <c r="B11" s="134"/>
      <c r="C11" s="146" t="s">
        <v>14</v>
      </c>
      <c r="D11" s="130">
        <f>'DCF估值结果 '!C15</f>
        <v>205.334395792009</v>
      </c>
      <c r="E11" s="148" t="s">
        <v>15</v>
      </c>
      <c r="F11" s="154">
        <f>D10/F10-1</f>
        <v>-0.0138575572027071</v>
      </c>
      <c r="G11" s="148"/>
      <c r="H11" s="148"/>
      <c r="I11" s="148"/>
      <c r="J11" s="163"/>
      <c r="K11" s="134"/>
      <c r="L11" s="134"/>
      <c r="M11" s="134"/>
      <c r="N11" s="134"/>
      <c r="O11" s="134"/>
      <c r="P11" s="134"/>
      <c r="Q11" s="134"/>
    </row>
    <row r="12" ht="20" customHeight="1" spans="1:17">
      <c r="A12" s="134"/>
      <c r="B12" s="134"/>
      <c r="C12" s="150"/>
      <c r="D12" s="143"/>
      <c r="E12" s="143"/>
      <c r="F12" s="143"/>
      <c r="G12" s="143"/>
      <c r="H12" s="143"/>
      <c r="I12" s="143"/>
      <c r="J12" s="143"/>
      <c r="K12" s="134"/>
      <c r="L12" s="134"/>
      <c r="M12" s="134"/>
      <c r="N12" s="134"/>
      <c r="O12" s="134"/>
      <c r="P12" s="134"/>
      <c r="Q12" s="134"/>
    </row>
    <row r="13" ht="20" customHeight="1" spans="1:17">
      <c r="A13" s="134"/>
      <c r="B13" s="134"/>
      <c r="C13" s="138" t="s">
        <v>16</v>
      </c>
      <c r="D13" s="140" t="s">
        <v>17</v>
      </c>
      <c r="E13" s="139"/>
      <c r="F13" s="139"/>
      <c r="G13" s="139"/>
      <c r="H13" s="139"/>
      <c r="I13" s="139"/>
      <c r="J13" s="161"/>
      <c r="K13" s="134"/>
      <c r="L13" s="134"/>
      <c r="M13" s="134"/>
      <c r="N13" s="134"/>
      <c r="O13" s="134"/>
      <c r="P13" s="134"/>
      <c r="Q13" s="134"/>
    </row>
    <row r="14" ht="20" customHeight="1" spans="1:17">
      <c r="A14" s="134"/>
      <c r="B14" s="134"/>
      <c r="C14" s="146" t="s">
        <v>18</v>
      </c>
      <c r="D14" s="149" t="s">
        <v>19</v>
      </c>
      <c r="E14" s="149"/>
      <c r="F14" s="149"/>
      <c r="G14" s="148"/>
      <c r="H14" s="148"/>
      <c r="I14" s="148"/>
      <c r="J14" s="163"/>
      <c r="K14" s="134"/>
      <c r="L14" s="134"/>
      <c r="M14" s="134"/>
      <c r="N14" s="134"/>
      <c r="O14" s="134"/>
      <c r="P14" s="134"/>
      <c r="Q14" s="134"/>
    </row>
    <row r="15" ht="20" customHeight="1" spans="1:17">
      <c r="A15" s="134"/>
      <c r="B15" s="134"/>
      <c r="C15" s="135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</row>
    <row r="16" ht="20" customHeight="1" spans="1:17">
      <c r="A16" s="134"/>
      <c r="B16" s="134"/>
      <c r="C16" s="135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</row>
    <row r="17" ht="20" customHeight="1" spans="1:17">
      <c r="A17" s="134"/>
      <c r="B17" s="134"/>
      <c r="C17" s="138" t="s">
        <v>20</v>
      </c>
      <c r="D17" s="155" t="s">
        <v>21</v>
      </c>
      <c r="E17" s="155"/>
      <c r="F17" s="155"/>
      <c r="G17" s="155"/>
      <c r="H17" s="155"/>
      <c r="I17" s="155"/>
      <c r="J17" s="164"/>
      <c r="K17" s="134"/>
      <c r="L17" s="134"/>
      <c r="M17" s="134"/>
      <c r="N17" s="134"/>
      <c r="O17" s="134"/>
      <c r="P17" s="134"/>
      <c r="Q17" s="134"/>
    </row>
    <row r="18" ht="20" customHeight="1" spans="1:17">
      <c r="A18" s="134"/>
      <c r="B18" s="134"/>
      <c r="C18" s="156"/>
      <c r="D18" s="157"/>
      <c r="E18" s="157"/>
      <c r="F18" s="157"/>
      <c r="G18" s="157"/>
      <c r="H18" s="157"/>
      <c r="I18" s="157"/>
      <c r="J18" s="165"/>
      <c r="K18" s="134"/>
      <c r="L18" s="134"/>
      <c r="M18" s="134"/>
      <c r="N18" s="134"/>
      <c r="O18" s="134"/>
      <c r="P18" s="134"/>
      <c r="Q18" s="134"/>
    </row>
    <row r="19" ht="20" customHeight="1" spans="1:17">
      <c r="A19" s="134"/>
      <c r="B19" s="134"/>
      <c r="C19" s="156"/>
      <c r="D19" s="157"/>
      <c r="E19" s="157"/>
      <c r="F19" s="157"/>
      <c r="G19" s="157"/>
      <c r="H19" s="157"/>
      <c r="I19" s="157"/>
      <c r="J19" s="165"/>
      <c r="K19" s="134"/>
      <c r="L19" s="134"/>
      <c r="M19" s="134"/>
      <c r="N19" s="134"/>
      <c r="O19" s="134"/>
      <c r="P19" s="134"/>
      <c r="Q19" s="134"/>
    </row>
    <row r="20" ht="20" customHeight="1" spans="1:17">
      <c r="A20" s="134"/>
      <c r="B20" s="134"/>
      <c r="C20" s="156"/>
      <c r="D20" s="157"/>
      <c r="E20" s="157"/>
      <c r="F20" s="157"/>
      <c r="G20" s="157"/>
      <c r="H20" s="157"/>
      <c r="I20" s="157"/>
      <c r="J20" s="165"/>
      <c r="K20" s="134"/>
      <c r="L20" s="134"/>
      <c r="M20" s="134"/>
      <c r="N20" s="134"/>
      <c r="O20" s="134"/>
      <c r="P20" s="134"/>
      <c r="Q20" s="134"/>
    </row>
    <row r="21" ht="20" customHeight="1" spans="1:17">
      <c r="A21" s="134"/>
      <c r="B21" s="134"/>
      <c r="C21" s="156"/>
      <c r="D21" s="157"/>
      <c r="E21" s="157"/>
      <c r="F21" s="157"/>
      <c r="G21" s="157"/>
      <c r="H21" s="157"/>
      <c r="I21" s="157"/>
      <c r="J21" s="165"/>
      <c r="K21" s="134"/>
      <c r="L21" s="134"/>
      <c r="M21" s="134"/>
      <c r="N21" s="134"/>
      <c r="O21" s="134"/>
      <c r="P21" s="134"/>
      <c r="Q21" s="134"/>
    </row>
    <row r="22" ht="20" customHeight="1" spans="1:17">
      <c r="A22" s="134"/>
      <c r="B22" s="134"/>
      <c r="C22" s="158"/>
      <c r="D22" s="159"/>
      <c r="E22" s="159"/>
      <c r="F22" s="159"/>
      <c r="G22" s="159"/>
      <c r="H22" s="159"/>
      <c r="I22" s="159"/>
      <c r="J22" s="166"/>
      <c r="K22" s="134"/>
      <c r="L22" s="134"/>
      <c r="M22" s="134"/>
      <c r="N22" s="134"/>
      <c r="O22" s="134"/>
      <c r="P22" s="134"/>
      <c r="Q22" s="134"/>
    </row>
    <row r="23" ht="20" customHeight="1" spans="1:17">
      <c r="A23" s="134"/>
      <c r="B23" s="134"/>
      <c r="C23" s="135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</row>
    <row r="24" ht="20" customHeight="1" spans="1:17">
      <c r="A24" s="134"/>
      <c r="B24" s="134"/>
      <c r="C24" s="135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</row>
    <row r="25" ht="20" customHeight="1" spans="1:17">
      <c r="A25" s="134"/>
      <c r="B25" s="134"/>
      <c r="C25" s="135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</row>
    <row r="26" ht="20" customHeight="1" spans="1:17">
      <c r="A26" s="134"/>
      <c r="B26" s="134"/>
      <c r="C26" s="135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</row>
    <row r="27" ht="20" customHeight="1" spans="1:17">
      <c r="A27" s="134"/>
      <c r="B27" s="134"/>
      <c r="C27" s="135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</row>
    <row r="28" ht="20" customHeight="1" spans="1:17">
      <c r="A28" s="134"/>
      <c r="B28" s="134"/>
      <c r="C28" s="135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</row>
    <row r="29" spans="3:3">
      <c r="C29"/>
    </row>
    <row r="30" spans="3:3">
      <c r="C30"/>
    </row>
    <row r="31" spans="3:3">
      <c r="C31"/>
    </row>
    <row r="32" spans="3:3">
      <c r="C32"/>
    </row>
    <row r="33" spans="3:3">
      <c r="C33"/>
    </row>
    <row r="34" spans="3:3">
      <c r="C34"/>
    </row>
    <row r="35" spans="3:3">
      <c r="C35"/>
    </row>
    <row r="36" spans="3:3">
      <c r="C36"/>
    </row>
    <row r="37" spans="3:3">
      <c r="C37"/>
    </row>
    <row r="38" spans="3:3">
      <c r="C38"/>
    </row>
    <row r="39" spans="3:3">
      <c r="C39"/>
    </row>
    <row r="40" spans="3:3">
      <c r="C40"/>
    </row>
    <row r="41" spans="3:3">
      <c r="C41"/>
    </row>
    <row r="42" spans="3:3">
      <c r="C42"/>
    </row>
    <row r="43" spans="3:3">
      <c r="C43"/>
    </row>
    <row r="44" spans="3:3">
      <c r="C44"/>
    </row>
    <row r="45" spans="3:3">
      <c r="C45"/>
    </row>
    <row r="46" spans="3:3">
      <c r="C46"/>
    </row>
    <row r="47" spans="3:3">
      <c r="C47"/>
    </row>
    <row r="48" spans="3:3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</sheetData>
  <mergeCells count="3">
    <mergeCell ref="C3:J3"/>
    <mergeCell ref="A29:XFD62"/>
    <mergeCell ref="D17:J22"/>
  </mergeCells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2:M31"/>
  <sheetViews>
    <sheetView workbookViewId="0">
      <selection activeCell="G37" sqref="G37"/>
    </sheetView>
  </sheetViews>
  <sheetFormatPr defaultColWidth="9" defaultRowHeight="13.5"/>
  <cols>
    <col min="3" max="3" width="16.125" style="2" customWidth="1"/>
    <col min="4" max="4" width="12.625" style="2"/>
    <col min="5" max="7" width="13.75" style="2"/>
    <col min="8" max="13" width="9" style="2"/>
  </cols>
  <sheetData>
    <row r="2" spans="4:13">
      <c r="D2" s="2">
        <v>2015</v>
      </c>
      <c r="E2" s="2">
        <v>2016</v>
      </c>
      <c r="F2" s="2">
        <v>2017</v>
      </c>
      <c r="G2" s="2">
        <v>2018</v>
      </c>
      <c r="H2" s="2">
        <v>2019</v>
      </c>
      <c r="I2" s="2">
        <v>2020</v>
      </c>
      <c r="J2" s="2">
        <v>2021</v>
      </c>
      <c r="K2" s="2">
        <v>2022</v>
      </c>
      <c r="L2" s="2">
        <v>2023</v>
      </c>
      <c r="M2" s="2">
        <v>2024</v>
      </c>
    </row>
    <row r="3" spans="3:3">
      <c r="C3" s="2" t="s">
        <v>125</v>
      </c>
    </row>
    <row r="4" spans="3:13">
      <c r="C4" s="2" t="s">
        <v>126</v>
      </c>
      <c r="D4" s="59">
        <f>IS!G2/BS!G7</f>
        <v>7.67191601049869</v>
      </c>
      <c r="E4" s="59">
        <f>IS!H2/BS!H7</f>
        <v>8.5136</v>
      </c>
      <c r="F4" s="59">
        <f>IS!I2/BS!I7</f>
        <v>6.99892125134844</v>
      </c>
      <c r="G4" s="59">
        <f>IS!J2/BS!J7</f>
        <v>6.93009708737864</v>
      </c>
      <c r="H4" s="2">
        <v>7.2</v>
      </c>
      <c r="I4" s="2">
        <f>H4</f>
        <v>7.2</v>
      </c>
      <c r="J4" s="2">
        <f>I4</f>
        <v>7.2</v>
      </c>
      <c r="K4" s="2">
        <f>J4</f>
        <v>7.2</v>
      </c>
      <c r="L4" s="2">
        <f>K4</f>
        <v>7.2</v>
      </c>
      <c r="M4" s="2">
        <f>L4</f>
        <v>7.2</v>
      </c>
    </row>
    <row r="5" spans="3:13">
      <c r="C5" s="2" t="s">
        <v>127</v>
      </c>
      <c r="D5" s="59">
        <f>IS!G2/BS!G12</f>
        <v>8.63515509601182</v>
      </c>
      <c r="E5" s="59">
        <f>IS!H2/BS!H12</f>
        <v>8.95791245791246</v>
      </c>
      <c r="F5" s="59">
        <f>IS!I2/BS!I12</f>
        <v>8.65066666666667</v>
      </c>
      <c r="G5" s="59">
        <f>IS!J2/BS!J12</f>
        <v>8.15771428571428</v>
      </c>
      <c r="H5" s="2">
        <v>8.4</v>
      </c>
      <c r="I5" s="2">
        <f>H5</f>
        <v>8.4</v>
      </c>
      <c r="J5" s="2">
        <f>I5</f>
        <v>8.4</v>
      </c>
      <c r="K5" s="2">
        <f>J5</f>
        <v>8.4</v>
      </c>
      <c r="L5" s="2">
        <f>K5</f>
        <v>8.4</v>
      </c>
      <c r="M5" s="2">
        <f>L5</f>
        <v>8.4</v>
      </c>
    </row>
    <row r="6" spans="3:13">
      <c r="C6" s="2" t="s">
        <v>128</v>
      </c>
      <c r="D6" s="59">
        <f>IS!G2/BS!G8</f>
        <v>67.1954022988506</v>
      </c>
      <c r="E6" s="59">
        <f>IS!H2/BS!H8</f>
        <v>120.931818181818</v>
      </c>
      <c r="F6" s="59">
        <f>IS!I2/BS!I8</f>
        <v>102.984126984127</v>
      </c>
      <c r="G6" s="59">
        <f>IS!J2/BS!J8</f>
        <v>91.5128205128205</v>
      </c>
      <c r="H6" s="2">
        <v>90</v>
      </c>
      <c r="I6" s="2">
        <f>H6</f>
        <v>90</v>
      </c>
      <c r="J6" s="2">
        <f>I6</f>
        <v>90</v>
      </c>
      <c r="K6" s="2">
        <f>J6</f>
        <v>90</v>
      </c>
      <c r="L6" s="2">
        <f>K6</f>
        <v>90</v>
      </c>
      <c r="M6" s="2">
        <f>L6</f>
        <v>90</v>
      </c>
    </row>
    <row r="7" spans="3:13">
      <c r="C7" s="2" t="s">
        <v>129</v>
      </c>
      <c r="D7" s="59">
        <f>IS!G2/BS!G9</f>
        <v>14.1549636803874</v>
      </c>
      <c r="E7" s="59">
        <f>IS!H2/BS!H9</f>
        <v>52.1666666666667</v>
      </c>
      <c r="F7" s="59">
        <f>IS!I2/BS!I9</f>
        <v>101.375</v>
      </c>
      <c r="G7" s="59">
        <f>IS!J2/BS!J9</f>
        <v>203.942857142857</v>
      </c>
      <c r="H7" s="2">
        <v>120</v>
      </c>
      <c r="I7" s="2">
        <f>H7</f>
        <v>120</v>
      </c>
      <c r="J7" s="2">
        <f>I7</f>
        <v>120</v>
      </c>
      <c r="K7" s="2">
        <f>J7</f>
        <v>120</v>
      </c>
      <c r="L7" s="2">
        <f>K7</f>
        <v>120</v>
      </c>
      <c r="M7" s="2">
        <f>L7</f>
        <v>120</v>
      </c>
    </row>
    <row r="10" spans="3:3">
      <c r="C10" s="2" t="s">
        <v>130</v>
      </c>
    </row>
    <row r="11" spans="3:13">
      <c r="C11" s="2" t="s">
        <v>131</v>
      </c>
      <c r="D11" s="59">
        <f>IS!G4/BS!G32</f>
        <v>3.72230889235569</v>
      </c>
      <c r="E11" s="59">
        <f>IS!H4/BS!H32</f>
        <v>4.24948453608247</v>
      </c>
      <c r="F11" s="59">
        <f>IS!I4/BS!I32</f>
        <v>3.32748538011696</v>
      </c>
      <c r="G11" s="59">
        <f>IS!J4/BS!J32</f>
        <v>3.20772946859903</v>
      </c>
      <c r="H11" s="2">
        <v>3.33</v>
      </c>
      <c r="I11" s="2">
        <v>3.5</v>
      </c>
      <c r="J11" s="2">
        <f>I11</f>
        <v>3.5</v>
      </c>
      <c r="K11" s="2">
        <f>J11</f>
        <v>3.5</v>
      </c>
      <c r="L11" s="2">
        <f>K11</f>
        <v>3.5</v>
      </c>
      <c r="M11" s="2">
        <f>L11</f>
        <v>3.5</v>
      </c>
    </row>
    <row r="12" spans="3:13">
      <c r="C12" s="2" t="s">
        <v>132</v>
      </c>
      <c r="D12" s="59">
        <f>IS!G4/BS!G33</f>
        <v>29.825</v>
      </c>
      <c r="E12" s="59">
        <f>IS!H4/BS!H33</f>
        <v>22.4021739130435</v>
      </c>
      <c r="F12" s="59">
        <f>IS!I4/BS!I33</f>
        <v>26.7764705882353</v>
      </c>
      <c r="G12" s="59">
        <f>IS!J4/BS!J33</f>
        <v>30.5287356321839</v>
      </c>
      <c r="H12" s="2">
        <v>29</v>
      </c>
      <c r="I12" s="2">
        <v>27.4</v>
      </c>
      <c r="J12" s="2">
        <f>I12</f>
        <v>27.4</v>
      </c>
      <c r="K12" s="2">
        <f>J12</f>
        <v>27.4</v>
      </c>
      <c r="L12" s="2">
        <f>K12</f>
        <v>27.4</v>
      </c>
      <c r="M12" s="2">
        <f>L12</f>
        <v>27.4</v>
      </c>
    </row>
    <row r="13" spans="3:13">
      <c r="C13" s="2" t="s">
        <v>133</v>
      </c>
      <c r="D13" s="59">
        <f>IS!G4/BS!G34</f>
        <v>4.59730250481696</v>
      </c>
      <c r="E13" s="59">
        <f>IS!H4/BS!H34</f>
        <v>13.8322147651007</v>
      </c>
      <c r="F13" s="59">
        <f>IS!I4/BS!I34</f>
        <v>7.2484076433121</v>
      </c>
      <c r="G13" s="59">
        <f>IS!J4/BS!J34</f>
        <v>7.58857142857143</v>
      </c>
      <c r="H13" s="2">
        <v>7.5</v>
      </c>
      <c r="I13" s="2">
        <f>H13</f>
        <v>7.5</v>
      </c>
      <c r="J13" s="2">
        <f>I13</f>
        <v>7.5</v>
      </c>
      <c r="K13" s="2">
        <f>J13</f>
        <v>7.5</v>
      </c>
      <c r="L13" s="2">
        <f>K13</f>
        <v>7.5</v>
      </c>
      <c r="M13" s="2">
        <f>L13</f>
        <v>7.5</v>
      </c>
    </row>
    <row r="14" spans="3:13">
      <c r="C14" s="2" t="s">
        <v>134</v>
      </c>
      <c r="D14" s="59">
        <f>IS!G4/BS!G37</f>
        <v>2.84386174016686</v>
      </c>
      <c r="E14" s="59">
        <f>IS!H4/BS!H37</f>
        <v>1.80314960629921</v>
      </c>
      <c r="F14" s="59">
        <f>IS!I4/BS!I37</f>
        <v>1.63271162123386</v>
      </c>
      <c r="G14" s="59">
        <f>IS!J4/BS!J37</f>
        <v>1.86910626319493</v>
      </c>
      <c r="H14" s="2">
        <v>1.77</v>
      </c>
      <c r="I14" s="2">
        <f>H14</f>
        <v>1.77</v>
      </c>
      <c r="J14" s="2">
        <f>I14</f>
        <v>1.77</v>
      </c>
      <c r="K14" s="2">
        <f>J14</f>
        <v>1.77</v>
      </c>
      <c r="L14" s="2">
        <f>K14</f>
        <v>1.77</v>
      </c>
      <c r="M14" s="2">
        <f>L14</f>
        <v>1.77</v>
      </c>
    </row>
    <row r="16" spans="3:3">
      <c r="C16" s="2" t="s">
        <v>135</v>
      </c>
    </row>
    <row r="17" spans="3:13">
      <c r="C17" s="2" t="s">
        <v>136</v>
      </c>
      <c r="D17" s="59">
        <f>IS!G4/BS!G25</f>
        <v>27.4252873563218</v>
      </c>
      <c r="E17" s="59">
        <f>IS!H4/BS!H25</f>
        <v>12.4156626506024</v>
      </c>
      <c r="F17" s="59">
        <f>IS!I4/BS!I25</f>
        <v>20.3214285714286</v>
      </c>
      <c r="G17" s="59">
        <f>IS!J4/BS!J25</f>
        <v>26.0392156862745</v>
      </c>
      <c r="H17" s="2">
        <v>26.5</v>
      </c>
      <c r="I17" s="2">
        <v>27</v>
      </c>
      <c r="J17" s="2">
        <f>I17</f>
        <v>27</v>
      </c>
      <c r="K17" s="2">
        <f>J17</f>
        <v>27</v>
      </c>
      <c r="L17" s="2">
        <f>K17</f>
        <v>27</v>
      </c>
      <c r="M17" s="2">
        <f>L17</f>
        <v>27</v>
      </c>
    </row>
    <row r="18" spans="3:13">
      <c r="C18" s="2" t="s">
        <v>137</v>
      </c>
      <c r="D18" s="59">
        <f>IS!G4/BS!G26</f>
        <v>25.6559139784946</v>
      </c>
      <c r="E18" s="59">
        <f>IS!H4/BS!H26</f>
        <v>15.7328244274809</v>
      </c>
      <c r="F18" s="59">
        <f>IS!I4/BS!I26</f>
        <v>12.3695652173913</v>
      </c>
      <c r="G18" s="59">
        <f>IS!J4/BS!J26</f>
        <v>19.1079136690648</v>
      </c>
      <c r="H18" s="59">
        <v>19.2</v>
      </c>
      <c r="I18" s="59">
        <f>H18</f>
        <v>19.2</v>
      </c>
      <c r="J18" s="59">
        <f>I18</f>
        <v>19.2</v>
      </c>
      <c r="K18" s="59">
        <f>J18</f>
        <v>19.2</v>
      </c>
      <c r="L18" s="59">
        <f>K18</f>
        <v>19.2</v>
      </c>
      <c r="M18" s="59">
        <f>L18</f>
        <v>19.2</v>
      </c>
    </row>
    <row r="22" spans="3:13">
      <c r="C22" s="2" t="s">
        <v>138</v>
      </c>
      <c r="D22" s="35">
        <f>BS!G46</f>
        <v>0</v>
      </c>
      <c r="E22" s="35">
        <f>BS!H46</f>
        <v>0</v>
      </c>
      <c r="F22" s="35">
        <f>BS!I46</f>
        <v>10.79</v>
      </c>
      <c r="G22" s="35">
        <f>BS!J46</f>
        <v>10.73</v>
      </c>
      <c r="H22" s="35">
        <f>BS!K46</f>
        <v>10.83</v>
      </c>
      <c r="I22" s="2">
        <f>H22-I24</f>
        <v>7.83</v>
      </c>
      <c r="J22" s="2">
        <f>I22-J24</f>
        <v>4.83</v>
      </c>
      <c r="K22" s="2">
        <f>J22-K24</f>
        <v>0.83</v>
      </c>
      <c r="L22" s="2">
        <f>K22-L24</f>
        <v>0</v>
      </c>
      <c r="M22" s="2">
        <v>0</v>
      </c>
    </row>
    <row r="23" spans="3:13">
      <c r="C23" s="2" t="s">
        <v>139</v>
      </c>
      <c r="D23" s="35"/>
      <c r="E23" s="35"/>
      <c r="F23" s="35">
        <v>10.79</v>
      </c>
      <c r="G23" s="35">
        <v>0</v>
      </c>
      <c r="H23" s="35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</row>
    <row r="24" spans="3:13">
      <c r="C24" s="2" t="s">
        <v>140</v>
      </c>
      <c r="D24" s="35"/>
      <c r="E24" s="35"/>
      <c r="F24" s="35">
        <v>0</v>
      </c>
      <c r="G24" s="35">
        <v>0</v>
      </c>
      <c r="H24" s="35">
        <v>0</v>
      </c>
      <c r="I24" s="2">
        <v>3</v>
      </c>
      <c r="J24" s="2">
        <v>3</v>
      </c>
      <c r="K24" s="2">
        <v>4</v>
      </c>
      <c r="L24" s="2">
        <v>0.83</v>
      </c>
      <c r="M24" s="2">
        <v>0</v>
      </c>
    </row>
    <row r="25" spans="4:8">
      <c r="D25" s="35"/>
      <c r="E25" s="35"/>
      <c r="F25" s="35"/>
      <c r="G25" s="35"/>
      <c r="H25" s="35"/>
    </row>
    <row r="26" spans="3:12">
      <c r="C26" s="2" t="s">
        <v>141</v>
      </c>
      <c r="D26" s="35">
        <f>BS!G31</f>
        <v>0</v>
      </c>
      <c r="E26" s="35">
        <f>BS!H31</f>
        <v>0</v>
      </c>
      <c r="F26" s="35">
        <f>BS!I31</f>
        <v>0.19</v>
      </c>
      <c r="G26" s="35">
        <f>BS!J31</f>
        <v>0</v>
      </c>
      <c r="H26" s="35">
        <f>BS!K31</f>
        <v>0</v>
      </c>
      <c r="I26" s="2">
        <v>0</v>
      </c>
      <c r="J26" s="2">
        <v>0</v>
      </c>
      <c r="K26" s="2">
        <v>0</v>
      </c>
      <c r="L26" s="2">
        <v>0</v>
      </c>
    </row>
    <row r="28" spans="3:13">
      <c r="C28" s="2" t="s">
        <v>142</v>
      </c>
      <c r="D28" s="59">
        <f>IS!G4/BS!G48</f>
        <v>183.538461538462</v>
      </c>
      <c r="E28" s="59">
        <f>IS!H4/BS!H48</f>
        <v>1030.5</v>
      </c>
      <c r="F28" s="59">
        <f>IS!I4/BS!I48</f>
        <v>36.7096774193548</v>
      </c>
      <c r="G28" s="59">
        <f>IS!J4/BS!J48</f>
        <v>28.8695652173913</v>
      </c>
      <c r="H28" s="2">
        <f>29</f>
        <v>29</v>
      </c>
      <c r="I28" s="2">
        <f>H28</f>
        <v>29</v>
      </c>
      <c r="J28" s="2">
        <f>I28</f>
        <v>29</v>
      </c>
      <c r="K28" s="2">
        <f>J28</f>
        <v>29</v>
      </c>
      <c r="L28" s="2">
        <f>K28</f>
        <v>29</v>
      </c>
      <c r="M28" s="2">
        <f>L28</f>
        <v>29</v>
      </c>
    </row>
    <row r="30" spans="3:13">
      <c r="C30" s="2" t="s">
        <v>143</v>
      </c>
      <c r="D30" s="2" t="e">
        <f>IS!G4/BS!G50</f>
        <v>#DIV/0!</v>
      </c>
      <c r="E30" s="2" t="e">
        <f>IS!H4/BS!H50</f>
        <v>#DIV/0!</v>
      </c>
      <c r="F30" s="59">
        <f>IS!I4/BS!I50</f>
        <v>24.2127659574468</v>
      </c>
      <c r="G30" s="59">
        <f>IS!J4/BS!J50</f>
        <v>30.1818181818182</v>
      </c>
      <c r="H30" s="2">
        <f>27</f>
        <v>27</v>
      </c>
      <c r="I30" s="2">
        <f>H30</f>
        <v>27</v>
      </c>
      <c r="J30" s="2">
        <f>I30</f>
        <v>27</v>
      </c>
      <c r="K30" s="2">
        <f>J30</f>
        <v>27</v>
      </c>
      <c r="L30" s="2">
        <f>K30</f>
        <v>27</v>
      </c>
      <c r="M30" s="2">
        <f>L30</f>
        <v>27</v>
      </c>
    </row>
    <row r="31" spans="3:13">
      <c r="C31" s="2" t="s">
        <v>144</v>
      </c>
      <c r="D31" s="59">
        <f>IS!G2/BS!G51</f>
        <v>17.2448377581121</v>
      </c>
      <c r="E31" s="59">
        <f>IS!H2/BS!H51</f>
        <v>11.517316017316</v>
      </c>
      <c r="F31" s="59">
        <f>IS!I2/BS!I51</f>
        <v>13.404958677686</v>
      </c>
      <c r="G31" s="59">
        <f>IS!J2/BS!J51</f>
        <v>17.7562189054726</v>
      </c>
      <c r="H31" s="2">
        <v>15</v>
      </c>
      <c r="I31" s="2">
        <f>H31</f>
        <v>15</v>
      </c>
      <c r="J31" s="2">
        <f>I31</f>
        <v>15</v>
      </c>
      <c r="K31" s="2">
        <f>J31</f>
        <v>15</v>
      </c>
      <c r="L31" s="2">
        <f>K31</f>
        <v>15</v>
      </c>
      <c r="M31" s="2">
        <f>L31</f>
        <v>15</v>
      </c>
    </row>
  </sheetData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2:L30"/>
  <sheetViews>
    <sheetView topLeftCell="A2" workbookViewId="0">
      <selection activeCell="G3" sqref="G3"/>
    </sheetView>
  </sheetViews>
  <sheetFormatPr defaultColWidth="9" defaultRowHeight="14.25"/>
  <cols>
    <col min="3" max="3" width="16.75" style="48" customWidth="1"/>
    <col min="4" max="6" width="12.625" style="32"/>
    <col min="7" max="7" width="9.375" style="32"/>
    <col min="8" max="8" width="9" style="32"/>
    <col min="9" max="9" width="9.375" style="32"/>
    <col min="10" max="10" width="11.5" style="32"/>
    <col min="11" max="12" width="12.625" style="32"/>
  </cols>
  <sheetData>
    <row r="2" spans="4:12">
      <c r="D2" s="32">
        <v>2016</v>
      </c>
      <c r="E2" s="32">
        <v>2017</v>
      </c>
      <c r="F2" s="32">
        <v>2018</v>
      </c>
      <c r="G2" s="32">
        <v>2019</v>
      </c>
      <c r="H2" s="32">
        <v>2020</v>
      </c>
      <c r="I2" s="32">
        <v>2021</v>
      </c>
      <c r="J2" s="32">
        <v>2022</v>
      </c>
      <c r="K2" s="32">
        <v>2023</v>
      </c>
      <c r="L2" s="32">
        <v>2024</v>
      </c>
    </row>
    <row r="3" spans="3:12">
      <c r="C3" s="48" t="s">
        <v>145</v>
      </c>
      <c r="D3" s="32">
        <f>BS!H20-BS!G20</f>
        <v>-0.17</v>
      </c>
      <c r="E3" s="32">
        <f>BS!I20-BS!H20</f>
        <v>0.9</v>
      </c>
      <c r="F3" s="32">
        <f>BS!J20-BS!I20</f>
        <v>8.92</v>
      </c>
      <c r="G3" s="32">
        <v>1</v>
      </c>
      <c r="H3" s="32">
        <v>0</v>
      </c>
      <c r="I3" s="32">
        <v>0</v>
      </c>
      <c r="J3" s="41">
        <f>J4*0.85</f>
        <v>0.85</v>
      </c>
      <c r="K3" s="41">
        <f>K4*0.85</f>
        <v>1.275</v>
      </c>
      <c r="L3" s="41">
        <f>L4*0.85</f>
        <v>1.275</v>
      </c>
    </row>
    <row r="4" spans="3:12">
      <c r="C4" s="48" t="s">
        <v>146</v>
      </c>
      <c r="D4" s="32">
        <f>BS!H21-BS!G21</f>
        <v>4.32</v>
      </c>
      <c r="E4" s="32">
        <f>BS!I21-BS!H21</f>
        <v>3.44</v>
      </c>
      <c r="F4" s="32">
        <f>BS!J21-BS!I21</f>
        <v>-9.12</v>
      </c>
      <c r="G4" s="32">
        <v>-0.17</v>
      </c>
      <c r="H4" s="32">
        <v>0</v>
      </c>
      <c r="I4" s="32">
        <v>0</v>
      </c>
      <c r="J4" s="32">
        <v>1</v>
      </c>
      <c r="K4" s="32">
        <v>1.5</v>
      </c>
      <c r="L4" s="32">
        <v>1.5</v>
      </c>
    </row>
    <row r="5" spans="3:12">
      <c r="C5" s="48" t="s">
        <v>147</v>
      </c>
      <c r="D5" s="32">
        <f>BS!H22-BS!G22</f>
        <v>-0.16</v>
      </c>
      <c r="E5" s="32">
        <f>BS!I22-BS!H22</f>
        <v>5.04</v>
      </c>
      <c r="F5" s="32">
        <f>BS!J22-BS!I22</f>
        <v>-0.0600000000000005</v>
      </c>
      <c r="G5" s="32">
        <v>0</v>
      </c>
      <c r="H5" s="32">
        <v>0</v>
      </c>
      <c r="I5" s="32">
        <v>0.3</v>
      </c>
      <c r="J5" s="32">
        <v>0.3</v>
      </c>
      <c r="K5" s="32">
        <v>0.5</v>
      </c>
      <c r="L5" s="32">
        <v>0.5</v>
      </c>
    </row>
    <row r="6" spans="3:12">
      <c r="C6" s="48" t="s">
        <v>148</v>
      </c>
      <c r="D6" s="32">
        <f>BS!H19-BS!G19</f>
        <v>0.87</v>
      </c>
      <c r="E6" s="32">
        <f>BS!I19-BS!H19</f>
        <v>0.02</v>
      </c>
      <c r="F6" s="32">
        <f>BS!J19-BS!I19</f>
        <v>0.69</v>
      </c>
      <c r="G6" s="32">
        <f t="shared" ref="G6:L6" si="0">G29</f>
        <v>0.94</v>
      </c>
      <c r="H6" s="32">
        <f t="shared" si="0"/>
        <v>0.6</v>
      </c>
      <c r="I6" s="32">
        <f t="shared" si="0"/>
        <v>0.6</v>
      </c>
      <c r="J6" s="32">
        <f t="shared" si="0"/>
        <v>0.6</v>
      </c>
      <c r="K6" s="32">
        <f t="shared" si="0"/>
        <v>0.6</v>
      </c>
      <c r="L6" s="32">
        <f t="shared" si="0"/>
        <v>0.6</v>
      </c>
    </row>
    <row r="7" spans="3:12">
      <c r="C7" s="48" t="s">
        <v>149</v>
      </c>
      <c r="D7" s="37">
        <f>SUM(D3:D6)</f>
        <v>4.86</v>
      </c>
      <c r="E7" s="37">
        <f t="shared" ref="E7:L7" si="1">SUM(E3:E6)</f>
        <v>9.4</v>
      </c>
      <c r="F7" s="37">
        <f t="shared" si="1"/>
        <v>0.43</v>
      </c>
      <c r="G7" s="37">
        <f t="shared" si="1"/>
        <v>1.77</v>
      </c>
      <c r="H7" s="37">
        <f t="shared" si="1"/>
        <v>0.6</v>
      </c>
      <c r="I7" s="37">
        <f t="shared" si="1"/>
        <v>0.9</v>
      </c>
      <c r="J7" s="37">
        <f t="shared" si="1"/>
        <v>2.75</v>
      </c>
      <c r="K7" s="37">
        <f t="shared" si="1"/>
        <v>3.875</v>
      </c>
      <c r="L7" s="37">
        <f t="shared" si="1"/>
        <v>3.875</v>
      </c>
    </row>
    <row r="9" spans="3:12">
      <c r="C9" s="48" t="s">
        <v>150</v>
      </c>
      <c r="D9" s="32">
        <f>BS!G20</f>
        <v>2.24</v>
      </c>
      <c r="E9" s="32">
        <f>BS!H20</f>
        <v>2.07</v>
      </c>
      <c r="F9" s="32">
        <f>BS!I20</f>
        <v>2.97</v>
      </c>
      <c r="G9" s="32">
        <f>BS!J20</f>
        <v>11.89</v>
      </c>
      <c r="H9" s="37">
        <f>G13</f>
        <v>11.601</v>
      </c>
      <c r="I9" s="37">
        <f>H13</f>
        <v>10.4409</v>
      </c>
      <c r="J9" s="37">
        <f>I13</f>
        <v>9.39681</v>
      </c>
      <c r="K9" s="37">
        <f>J13</f>
        <v>9.222129</v>
      </c>
      <c r="L9" s="37">
        <f>K13</f>
        <v>9.4474161</v>
      </c>
    </row>
    <row r="10" spans="3:12">
      <c r="C10" s="48" t="s">
        <v>151</v>
      </c>
      <c r="D10" s="32">
        <f t="shared" ref="D10:L10" si="2">D3</f>
        <v>-0.17</v>
      </c>
      <c r="E10" s="32">
        <f t="shared" si="2"/>
        <v>0.9</v>
      </c>
      <c r="F10" s="32">
        <f t="shared" si="2"/>
        <v>8.92</v>
      </c>
      <c r="G10" s="32">
        <f t="shared" si="2"/>
        <v>1</v>
      </c>
      <c r="H10" s="32">
        <f t="shared" si="2"/>
        <v>0</v>
      </c>
      <c r="I10" s="32">
        <f t="shared" si="2"/>
        <v>0</v>
      </c>
      <c r="J10" s="41">
        <f t="shared" si="2"/>
        <v>0.85</v>
      </c>
      <c r="K10" s="41">
        <f t="shared" si="2"/>
        <v>1.275</v>
      </c>
      <c r="L10" s="41">
        <f t="shared" si="2"/>
        <v>1.275</v>
      </c>
    </row>
    <row r="11" spans="3:12">
      <c r="C11" s="48" t="s">
        <v>152</v>
      </c>
      <c r="D11" s="32">
        <f>CS!H4</f>
        <v>0.38</v>
      </c>
      <c r="E11" s="32">
        <f>CS!I4</f>
        <v>0.63</v>
      </c>
      <c r="F11" s="32">
        <f>CS!J4</f>
        <v>0.92</v>
      </c>
      <c r="G11" s="37">
        <f t="shared" ref="G11:L11" si="3">(G9+G10)*G12</f>
        <v>1.289</v>
      </c>
      <c r="H11" s="37">
        <f t="shared" si="3"/>
        <v>1.1601</v>
      </c>
      <c r="I11" s="37">
        <f t="shared" si="3"/>
        <v>1.04409</v>
      </c>
      <c r="J11" s="37">
        <f t="shared" si="3"/>
        <v>1.024681</v>
      </c>
      <c r="K11" s="37">
        <f t="shared" si="3"/>
        <v>1.0497129</v>
      </c>
      <c r="L11" s="37">
        <f t="shared" si="3"/>
        <v>1.07224161</v>
      </c>
    </row>
    <row r="12" spans="3:12">
      <c r="C12" s="48" t="s">
        <v>153</v>
      </c>
      <c r="D12" s="55">
        <f>D11/(D9+D10)</f>
        <v>0.183574879227053</v>
      </c>
      <c r="E12" s="55">
        <f>E11/(E9+E10)</f>
        <v>0.212121212121212</v>
      </c>
      <c r="F12" s="55">
        <f>F11/(F9+F10)</f>
        <v>0.0773759461732548</v>
      </c>
      <c r="G12" s="56">
        <v>0.1</v>
      </c>
      <c r="H12" s="57">
        <f>G12</f>
        <v>0.1</v>
      </c>
      <c r="I12" s="57">
        <f>H12</f>
        <v>0.1</v>
      </c>
      <c r="J12" s="57">
        <f>I12</f>
        <v>0.1</v>
      </c>
      <c r="K12" s="57">
        <f>J12</f>
        <v>0.1</v>
      </c>
      <c r="L12" s="57">
        <f>K12</f>
        <v>0.1</v>
      </c>
    </row>
    <row r="13" spans="3:12">
      <c r="C13" s="48" t="s">
        <v>154</v>
      </c>
      <c r="D13" s="32">
        <f>BS!H20</f>
        <v>2.07</v>
      </c>
      <c r="E13" s="32">
        <f>BS!I20</f>
        <v>2.97</v>
      </c>
      <c r="F13" s="32">
        <f>BS!J20</f>
        <v>11.89</v>
      </c>
      <c r="G13" s="32">
        <f t="shared" ref="G13:L13" si="4">G9+G10-G11</f>
        <v>11.601</v>
      </c>
      <c r="H13" s="37">
        <f t="shared" si="4"/>
        <v>10.4409</v>
      </c>
      <c r="I13" s="37">
        <f t="shared" si="4"/>
        <v>9.39681</v>
      </c>
      <c r="J13" s="37">
        <f t="shared" si="4"/>
        <v>9.222129</v>
      </c>
      <c r="K13" s="37">
        <f t="shared" si="4"/>
        <v>9.4474161</v>
      </c>
      <c r="L13" s="37">
        <f t="shared" si="4"/>
        <v>9.65017449</v>
      </c>
    </row>
    <row r="16" spans="3:12">
      <c r="C16" s="48" t="s">
        <v>155</v>
      </c>
      <c r="D16" s="32">
        <f>BS!G21</f>
        <v>1.53</v>
      </c>
      <c r="E16" s="32">
        <f>BS!H21</f>
        <v>5.85</v>
      </c>
      <c r="F16" s="32">
        <f>BS!I21</f>
        <v>9.29</v>
      </c>
      <c r="G16" s="32">
        <f t="shared" ref="G16:L16" si="5">F19</f>
        <v>0.17</v>
      </c>
      <c r="H16" s="32">
        <f t="shared" si="5"/>
        <v>0</v>
      </c>
      <c r="I16" s="32">
        <f t="shared" si="5"/>
        <v>0</v>
      </c>
      <c r="J16" s="32">
        <f t="shared" si="5"/>
        <v>0</v>
      </c>
      <c r="K16" s="32">
        <f t="shared" si="5"/>
        <v>0.15</v>
      </c>
      <c r="L16" s="37">
        <f t="shared" si="5"/>
        <v>0.2475</v>
      </c>
    </row>
    <row r="17" spans="3:12">
      <c r="C17" s="48" t="s">
        <v>151</v>
      </c>
      <c r="D17" s="32">
        <f>D4</f>
        <v>4.32</v>
      </c>
      <c r="E17" s="32">
        <f>E4</f>
        <v>3.44</v>
      </c>
      <c r="F17" s="32">
        <f>F4</f>
        <v>-9.12</v>
      </c>
      <c r="G17" s="32">
        <v>-0.17</v>
      </c>
      <c r="H17" s="32">
        <f>H4</f>
        <v>0</v>
      </c>
      <c r="I17" s="32">
        <f>I4</f>
        <v>0</v>
      </c>
      <c r="J17" s="32">
        <f>J4</f>
        <v>1</v>
      </c>
      <c r="K17" s="32">
        <f>K4</f>
        <v>1.5</v>
      </c>
      <c r="L17" s="32">
        <f>L4</f>
        <v>1.5</v>
      </c>
    </row>
    <row r="18" spans="3:12">
      <c r="C18" s="48" t="s">
        <v>156</v>
      </c>
      <c r="J18" s="32">
        <v>0.85</v>
      </c>
      <c r="K18" s="32">
        <f>J18</f>
        <v>0.85</v>
      </c>
      <c r="L18" s="32">
        <f>K18</f>
        <v>0.85</v>
      </c>
    </row>
    <row r="19" spans="3:12">
      <c r="C19" s="48" t="s">
        <v>157</v>
      </c>
      <c r="D19" s="32">
        <f>BS!H21</f>
        <v>5.85</v>
      </c>
      <c r="E19" s="32">
        <f>BS!I21</f>
        <v>9.29</v>
      </c>
      <c r="F19" s="32">
        <f>BS!J21</f>
        <v>0.17</v>
      </c>
      <c r="G19" s="32">
        <v>0</v>
      </c>
      <c r="H19" s="32">
        <v>0</v>
      </c>
      <c r="I19" s="32">
        <v>0</v>
      </c>
      <c r="J19" s="37">
        <f>(J16+J17)*(1-J18)</f>
        <v>0.15</v>
      </c>
      <c r="K19" s="37">
        <f>(K16+K17)*(1-K18)</f>
        <v>0.2475</v>
      </c>
      <c r="L19" s="37">
        <f>(L16+L17)*(1-L18)</f>
        <v>0.262125</v>
      </c>
    </row>
    <row r="22" spans="3:12">
      <c r="C22" s="48" t="s">
        <v>158</v>
      </c>
      <c r="D22" s="32">
        <f>BS!G22</f>
        <v>3.34</v>
      </c>
      <c r="E22" s="32">
        <f>BS!H22</f>
        <v>3.18</v>
      </c>
      <c r="F22" s="32">
        <f>BS!I22</f>
        <v>8.22</v>
      </c>
      <c r="G22" s="32">
        <f>BS!J22</f>
        <v>8.16</v>
      </c>
      <c r="H22" s="37">
        <f>G26</f>
        <v>7.7928</v>
      </c>
      <c r="I22" s="37">
        <f>H26</f>
        <v>7.442124</v>
      </c>
      <c r="J22" s="37">
        <f>I26</f>
        <v>7.39372842</v>
      </c>
      <c r="K22" s="37">
        <f>J26</f>
        <v>7.3475106411</v>
      </c>
      <c r="L22" s="37">
        <f>K26</f>
        <v>7.4943726622505</v>
      </c>
    </row>
    <row r="23" spans="3:12">
      <c r="C23" s="48" t="s">
        <v>151</v>
      </c>
      <c r="D23" s="32">
        <f t="shared" ref="D23:L23" si="6">D5</f>
        <v>-0.16</v>
      </c>
      <c r="E23" s="32">
        <f t="shared" si="6"/>
        <v>5.04</v>
      </c>
      <c r="F23" s="32">
        <f t="shared" si="6"/>
        <v>-0.0600000000000005</v>
      </c>
      <c r="G23" s="32">
        <f t="shared" si="6"/>
        <v>0</v>
      </c>
      <c r="H23" s="32">
        <f t="shared" si="6"/>
        <v>0</v>
      </c>
      <c r="I23" s="32">
        <f t="shared" si="6"/>
        <v>0.3</v>
      </c>
      <c r="J23" s="32">
        <f t="shared" si="6"/>
        <v>0.3</v>
      </c>
      <c r="K23" s="32">
        <f t="shared" si="6"/>
        <v>0.5</v>
      </c>
      <c r="L23" s="32">
        <f t="shared" si="6"/>
        <v>0.5</v>
      </c>
    </row>
    <row r="24" spans="3:12">
      <c r="C24" s="48" t="s">
        <v>159</v>
      </c>
      <c r="D24" s="32">
        <f>CS!H5</f>
        <v>0.17</v>
      </c>
      <c r="E24" s="32">
        <f>CS!I5</f>
        <v>0.3</v>
      </c>
      <c r="F24" s="32">
        <f>CS!J5</f>
        <v>0.37</v>
      </c>
      <c r="G24" s="37">
        <f t="shared" ref="G24:L24" si="7">(G22+G23)*G25</f>
        <v>0.3672</v>
      </c>
      <c r="H24" s="37">
        <f t="shared" si="7"/>
        <v>0.350676</v>
      </c>
      <c r="I24" s="37">
        <f t="shared" si="7"/>
        <v>0.34839558</v>
      </c>
      <c r="J24" s="37">
        <f t="shared" si="7"/>
        <v>0.3462177789</v>
      </c>
      <c r="K24" s="37">
        <f t="shared" si="7"/>
        <v>0.3531379788495</v>
      </c>
      <c r="L24" s="37">
        <f t="shared" si="7"/>
        <v>0.359746769801272</v>
      </c>
    </row>
    <row r="25" spans="3:12">
      <c r="C25" s="48" t="s">
        <v>160</v>
      </c>
      <c r="D25" s="55">
        <f>D24/(D22+D23)</f>
        <v>0.0534591194968553</v>
      </c>
      <c r="E25" s="55">
        <f>E24/(E22+E23)</f>
        <v>0.0364963503649635</v>
      </c>
      <c r="F25" s="55">
        <f>F24/(F22+F23)</f>
        <v>0.045343137254902</v>
      </c>
      <c r="G25" s="58">
        <v>0.045</v>
      </c>
      <c r="H25" s="55">
        <f>G25</f>
        <v>0.045</v>
      </c>
      <c r="I25" s="55">
        <f>H25</f>
        <v>0.045</v>
      </c>
      <c r="J25" s="55">
        <f>I25</f>
        <v>0.045</v>
      </c>
      <c r="K25" s="55">
        <f>J25</f>
        <v>0.045</v>
      </c>
      <c r="L25" s="55">
        <f>K25</f>
        <v>0.045</v>
      </c>
    </row>
    <row r="26" spans="3:12">
      <c r="C26" s="48" t="s">
        <v>161</v>
      </c>
      <c r="D26" s="32">
        <f>BS!H22</f>
        <v>3.18</v>
      </c>
      <c r="E26" s="32">
        <f>BS!I22</f>
        <v>8.22</v>
      </c>
      <c r="F26" s="32">
        <f>BS!J22</f>
        <v>8.16</v>
      </c>
      <c r="G26" s="37">
        <f t="shared" ref="G26:L26" si="8">G22+G23-G24</f>
        <v>7.7928</v>
      </c>
      <c r="H26" s="37">
        <f t="shared" si="8"/>
        <v>7.442124</v>
      </c>
      <c r="I26" s="37">
        <f t="shared" si="8"/>
        <v>7.39372842</v>
      </c>
      <c r="J26" s="37">
        <f t="shared" si="8"/>
        <v>7.3475106411</v>
      </c>
      <c r="K26" s="37">
        <f t="shared" si="8"/>
        <v>7.4943726622505</v>
      </c>
      <c r="L26" s="37">
        <f t="shared" si="8"/>
        <v>7.63462589244923</v>
      </c>
    </row>
    <row r="28" spans="3:12">
      <c r="C28" s="48" t="s">
        <v>162</v>
      </c>
      <c r="D28" s="32">
        <f>BS!G19</f>
        <v>1.18</v>
      </c>
      <c r="E28" s="32">
        <f>BS!H19</f>
        <v>2.05</v>
      </c>
      <c r="F28" s="32">
        <f>BS!I19</f>
        <v>2.07</v>
      </c>
      <c r="G28" s="32">
        <f>BS!J19</f>
        <v>2.76</v>
      </c>
      <c r="H28" s="32">
        <f>G30</f>
        <v>3.7</v>
      </c>
      <c r="I28" s="32">
        <f>H30</f>
        <v>4.3</v>
      </c>
      <c r="J28" s="32">
        <f>I30</f>
        <v>4.9</v>
      </c>
      <c r="K28" s="32">
        <f>J30</f>
        <v>5.5</v>
      </c>
      <c r="L28" s="32">
        <f>K30</f>
        <v>6.1</v>
      </c>
    </row>
    <row r="29" spans="3:12">
      <c r="C29" s="48" t="s">
        <v>163</v>
      </c>
      <c r="D29" s="32">
        <f>D6</f>
        <v>0.87</v>
      </c>
      <c r="E29" s="32">
        <f>E6</f>
        <v>0.02</v>
      </c>
      <c r="F29" s="32">
        <f>F6</f>
        <v>0.69</v>
      </c>
      <c r="G29" s="32">
        <f>3.7-2.76</f>
        <v>0.94</v>
      </c>
      <c r="H29" s="32">
        <v>0.6</v>
      </c>
      <c r="I29" s="32">
        <f>H29</f>
        <v>0.6</v>
      </c>
      <c r="J29" s="32">
        <f>I29</f>
        <v>0.6</v>
      </c>
      <c r="K29" s="32">
        <f>J29</f>
        <v>0.6</v>
      </c>
      <c r="L29" s="32">
        <f>K29</f>
        <v>0.6</v>
      </c>
    </row>
    <row r="30" spans="3:12">
      <c r="C30" s="48" t="s">
        <v>164</v>
      </c>
      <c r="D30" s="32">
        <f>BS!H19</f>
        <v>2.05</v>
      </c>
      <c r="E30" s="32">
        <f>BS!I19</f>
        <v>2.07</v>
      </c>
      <c r="F30" s="32">
        <f>BS!J19</f>
        <v>2.76</v>
      </c>
      <c r="G30" s="32">
        <v>3.7</v>
      </c>
      <c r="H30" s="32">
        <f>H28+H29</f>
        <v>4.3</v>
      </c>
      <c r="I30" s="32">
        <f>I28+I29</f>
        <v>4.9</v>
      </c>
      <c r="J30" s="32">
        <f>J28+J29</f>
        <v>5.5</v>
      </c>
      <c r="K30" s="32">
        <f>K28+K29</f>
        <v>6.1</v>
      </c>
      <c r="L30" s="32">
        <f>L28+L29</f>
        <v>6.7</v>
      </c>
    </row>
  </sheetData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95"/>
  <sheetViews>
    <sheetView topLeftCell="A30" workbookViewId="0">
      <selection activeCell="R24" sqref="R24"/>
    </sheetView>
  </sheetViews>
  <sheetFormatPr defaultColWidth="9" defaultRowHeight="14.25"/>
  <cols>
    <col min="1" max="1" width="33" style="47" customWidth="1"/>
    <col min="2" max="6" width="15.1416666666667" style="29" hidden="1" outlineLevel="1"/>
    <col min="7" max="7" width="15.1416666666667" style="29" collapsed="1"/>
    <col min="8" max="10" width="15.1416666666667" style="29"/>
    <col min="11" max="12" width="12.625" style="35"/>
    <col min="13" max="16" width="13.75" style="35"/>
    <col min="21" max="21" width="13" style="29"/>
  </cols>
  <sheetData>
    <row r="1" spans="2:21">
      <c r="B1" s="32">
        <v>2010</v>
      </c>
      <c r="C1" s="32">
        <v>2011</v>
      </c>
      <c r="D1" s="32">
        <v>2012</v>
      </c>
      <c r="E1" s="32">
        <v>2013</v>
      </c>
      <c r="F1" s="32">
        <v>2014</v>
      </c>
      <c r="G1" s="32">
        <v>2015</v>
      </c>
      <c r="H1" s="32">
        <v>2016</v>
      </c>
      <c r="I1" s="32">
        <v>2017</v>
      </c>
      <c r="J1" s="32">
        <v>2018</v>
      </c>
      <c r="K1" s="32">
        <v>2019</v>
      </c>
      <c r="L1" s="32">
        <v>2020</v>
      </c>
      <c r="M1" s="32">
        <v>2021</v>
      </c>
      <c r="N1" s="32">
        <v>2022</v>
      </c>
      <c r="O1" s="32">
        <v>2023</v>
      </c>
      <c r="P1" s="32">
        <v>2024</v>
      </c>
      <c r="U1" s="32"/>
    </row>
    <row r="2" spans="1:1">
      <c r="A2" s="48" t="s">
        <v>165</v>
      </c>
    </row>
    <row r="3" spans="1:21">
      <c r="A3" s="48" t="s">
        <v>166</v>
      </c>
      <c r="B3" s="33">
        <v>7.68</v>
      </c>
      <c r="C3" s="33">
        <v>8.72</v>
      </c>
      <c r="D3" s="33">
        <v>13.29</v>
      </c>
      <c r="E3" s="33">
        <v>17.33</v>
      </c>
      <c r="F3" s="33">
        <v>26.34</v>
      </c>
      <c r="G3" s="33">
        <v>34.77</v>
      </c>
      <c r="H3" s="33">
        <v>23.3</v>
      </c>
      <c r="I3" s="33">
        <v>13.31</v>
      </c>
      <c r="J3" s="33">
        <v>11.05</v>
      </c>
      <c r="K3" s="51">
        <f>CS!K41</f>
        <v>13.6193245984552</v>
      </c>
      <c r="L3" s="38">
        <f>CS!L41</f>
        <v>24.5973978698851</v>
      </c>
      <c r="M3" s="38">
        <f>CS!M41</f>
        <v>35.2919727568152</v>
      </c>
      <c r="N3" s="38">
        <f>CS!N41</f>
        <v>45.7962158665943</v>
      </c>
      <c r="O3" s="38">
        <f>CS!O41</f>
        <v>57.3110913036831</v>
      </c>
      <c r="P3" s="38">
        <f>CS!P41</f>
        <v>70.043836969377</v>
      </c>
      <c r="U3" s="33"/>
    </row>
    <row r="4" spans="1:21">
      <c r="A4" s="48" t="s">
        <v>167</v>
      </c>
      <c r="G4" s="29" t="s">
        <v>168</v>
      </c>
      <c r="H4" s="29" t="s">
        <v>169</v>
      </c>
      <c r="I4" s="29" t="s">
        <v>170</v>
      </c>
      <c r="J4" s="29" t="s">
        <v>171</v>
      </c>
      <c r="K4" s="35">
        <v>21</v>
      </c>
      <c r="L4" s="52">
        <v>10</v>
      </c>
      <c r="M4" s="52">
        <v>0</v>
      </c>
      <c r="N4" s="52">
        <v>0</v>
      </c>
      <c r="O4" s="52"/>
      <c r="P4" s="52"/>
      <c r="U4" s="33"/>
    </row>
    <row r="5" spans="1:16">
      <c r="A5" s="48" t="s">
        <v>36</v>
      </c>
      <c r="H5" s="49">
        <f>H4/G4-1</f>
        <v>0.119442601194426</v>
      </c>
      <c r="I5" s="49">
        <f>I4/H4-1</f>
        <v>-0.273858921161826</v>
      </c>
      <c r="J5" s="49">
        <f>J4/I4-1</f>
        <v>0.349387755102041</v>
      </c>
      <c r="K5" s="53">
        <f>K4/J4-1</f>
        <v>0.270417422867514</v>
      </c>
      <c r="L5" s="28"/>
      <c r="M5" s="28"/>
      <c r="N5" s="28"/>
      <c r="O5" s="28"/>
      <c r="P5" s="28"/>
    </row>
    <row r="6" spans="1:21">
      <c r="A6" s="48" t="s">
        <v>172</v>
      </c>
      <c r="B6" s="33">
        <v>0.38</v>
      </c>
      <c r="C6" s="33">
        <v>0.73</v>
      </c>
      <c r="D6" s="33">
        <v>0.11</v>
      </c>
      <c r="E6" s="33">
        <v>0.08</v>
      </c>
      <c r="F6" s="33">
        <v>0.13</v>
      </c>
      <c r="G6" s="33">
        <v>0.02</v>
      </c>
      <c r="H6" s="33">
        <v>0.31</v>
      </c>
      <c r="I6" s="33">
        <v>0.1</v>
      </c>
      <c r="J6" s="33">
        <v>0.01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U6" s="33"/>
    </row>
    <row r="7" spans="1:21">
      <c r="A7" s="48" t="s">
        <v>173</v>
      </c>
      <c r="B7" s="33">
        <v>2.64</v>
      </c>
      <c r="C7" s="33">
        <v>3.71</v>
      </c>
      <c r="D7" s="33">
        <v>4.28</v>
      </c>
      <c r="E7" s="33">
        <v>4.29</v>
      </c>
      <c r="F7" s="33">
        <v>5.3</v>
      </c>
      <c r="G7" s="33">
        <v>7.62</v>
      </c>
      <c r="H7" s="33">
        <v>6.25</v>
      </c>
      <c r="I7" s="33">
        <v>9.27</v>
      </c>
      <c r="J7" s="33">
        <v>10.3</v>
      </c>
      <c r="K7" s="38">
        <f>IS!K2/资产负债表假设!H4</f>
        <v>10.7622638888889</v>
      </c>
      <c r="L7" s="38">
        <f>IS!L2/资产负债表假设!I4</f>
        <v>11.9293659722222</v>
      </c>
      <c r="M7" s="38">
        <f>IS!M2/资产负债表假设!J4</f>
        <v>13.2712092152778</v>
      </c>
      <c r="N7" s="38">
        <f>IS!N2/资产负债表假设!K4</f>
        <v>14.7451023683333</v>
      </c>
      <c r="O7" s="38">
        <f>IS!O2/资产负债表假设!L4</f>
        <v>16.3886494142</v>
      </c>
      <c r="P7" s="38">
        <f>IS!P2/资产负债表假设!M4</f>
        <v>18.222417873404</v>
      </c>
      <c r="U7" s="33"/>
    </row>
    <row r="8" spans="1:21">
      <c r="A8" s="48" t="s">
        <v>174</v>
      </c>
      <c r="B8" s="33">
        <v>0.22</v>
      </c>
      <c r="C8" s="33">
        <v>0.28</v>
      </c>
      <c r="D8" s="33">
        <v>0.12</v>
      </c>
      <c r="E8" s="33">
        <v>0.19</v>
      </c>
      <c r="F8" s="33">
        <v>0.21</v>
      </c>
      <c r="G8" s="33">
        <v>0.87</v>
      </c>
      <c r="H8" s="33">
        <v>0.44</v>
      </c>
      <c r="I8" s="33">
        <v>0.63</v>
      </c>
      <c r="J8" s="33">
        <v>0.78</v>
      </c>
      <c r="K8" s="38">
        <f>IS!K2/资产负债表假设!H6</f>
        <v>0.860981111111111</v>
      </c>
      <c r="L8" s="38">
        <f>IS!L2/资产负债表假设!I6</f>
        <v>0.954349277777778</v>
      </c>
      <c r="M8" s="38">
        <f>IS!M2/资产负债表假设!J6</f>
        <v>1.06169673722222</v>
      </c>
      <c r="N8" s="38">
        <f>IS!N2/资产负债表假设!K6</f>
        <v>1.17960818946667</v>
      </c>
      <c r="O8" s="38">
        <f>IS!O2/资产负债表假设!L6</f>
        <v>1.311091953136</v>
      </c>
      <c r="P8" s="38">
        <f>IS!P2/资产负债表假设!M6</f>
        <v>1.45779342987232</v>
      </c>
      <c r="U8" s="33"/>
    </row>
    <row r="9" spans="1:21">
      <c r="A9" s="48" t="s">
        <v>175</v>
      </c>
      <c r="B9" s="33">
        <v>0.25</v>
      </c>
      <c r="C9" s="33">
        <v>0.25</v>
      </c>
      <c r="D9" s="33">
        <v>0.37</v>
      </c>
      <c r="E9" s="33">
        <v>0.23</v>
      </c>
      <c r="F9" s="33">
        <v>0.25</v>
      </c>
      <c r="G9" s="33">
        <v>4.13</v>
      </c>
      <c r="H9" s="33">
        <v>1.02</v>
      </c>
      <c r="I9" s="33">
        <v>0.64</v>
      </c>
      <c r="J9" s="33">
        <v>0.35</v>
      </c>
      <c r="K9" s="38">
        <f>IS!K2/资产负债表假设!H7</f>
        <v>0.645735833333333</v>
      </c>
      <c r="L9" s="38">
        <f>IS!L2/资产负债表假设!I7</f>
        <v>0.715761958333333</v>
      </c>
      <c r="M9" s="38">
        <f>IS!M2/资产负债表假设!J7</f>
        <v>0.796272552916667</v>
      </c>
      <c r="N9" s="38">
        <f>IS!N2/资产负债表假设!K7</f>
        <v>0.8847061421</v>
      </c>
      <c r="O9" s="38">
        <f>IS!O2/资产负债表假设!L7</f>
        <v>0.983318964852</v>
      </c>
      <c r="P9" s="38">
        <f>IS!P2/资产负债表假设!M7</f>
        <v>1.09334507240424</v>
      </c>
      <c r="U9" s="33"/>
    </row>
    <row r="10" spans="1:21">
      <c r="A10" s="48" t="s">
        <v>176</v>
      </c>
      <c r="U10" s="33"/>
    </row>
    <row r="11" spans="1:16">
      <c r="A11" s="48" t="s">
        <v>177</v>
      </c>
      <c r="B11" s="33">
        <v>0.2</v>
      </c>
      <c r="C11" s="33">
        <v>0.23</v>
      </c>
      <c r="D11" s="33">
        <v>0.37</v>
      </c>
      <c r="E11" s="33">
        <v>0.23</v>
      </c>
      <c r="F11" s="33">
        <v>0.25</v>
      </c>
      <c r="G11" s="33">
        <v>4.13</v>
      </c>
      <c r="H11" s="33">
        <v>1.02</v>
      </c>
      <c r="I11" s="33">
        <v>0.64</v>
      </c>
      <c r="J11" s="33">
        <v>0.35</v>
      </c>
      <c r="K11" s="35">
        <v>0.5</v>
      </c>
      <c r="L11" s="35">
        <f>K11</f>
        <v>0.5</v>
      </c>
      <c r="M11" s="35">
        <f>L11</f>
        <v>0.5</v>
      </c>
      <c r="N11" s="35">
        <f>M11</f>
        <v>0.5</v>
      </c>
      <c r="O11" s="35">
        <f>N11</f>
        <v>0.5</v>
      </c>
      <c r="P11" s="35">
        <f>O11</f>
        <v>0.5</v>
      </c>
    </row>
    <row r="12" spans="1:21">
      <c r="A12" s="48" t="s">
        <v>178</v>
      </c>
      <c r="B12" s="33">
        <v>3.18</v>
      </c>
      <c r="C12" s="33">
        <v>3.99</v>
      </c>
      <c r="D12" s="33">
        <v>3.96</v>
      </c>
      <c r="E12" s="33">
        <v>4.37</v>
      </c>
      <c r="F12" s="33">
        <v>5.24</v>
      </c>
      <c r="G12" s="33">
        <v>6.77</v>
      </c>
      <c r="H12" s="33">
        <v>5.94</v>
      </c>
      <c r="I12" s="33">
        <v>7.5</v>
      </c>
      <c r="J12" s="33">
        <v>8.75</v>
      </c>
      <c r="K12" s="38">
        <f>IS!K2/资产负债表假设!H5</f>
        <v>9.22479761904762</v>
      </c>
      <c r="L12" s="38">
        <f>IS!L2/资产负债表假设!I5</f>
        <v>10.2251708333333</v>
      </c>
      <c r="M12" s="38">
        <f>IS!M2/资产负债表假设!J5</f>
        <v>11.3753221845238</v>
      </c>
      <c r="N12" s="38">
        <f>IS!N2/资产负债表假设!K5</f>
        <v>12.6386591728571</v>
      </c>
      <c r="O12" s="38">
        <f>IS!O2/资产负债表假设!L5</f>
        <v>14.0474137836</v>
      </c>
      <c r="P12" s="38">
        <f>IS!P2/资产负债表假设!M5</f>
        <v>15.6192153200606</v>
      </c>
      <c r="U12" s="33"/>
    </row>
    <row r="13" spans="1:21">
      <c r="A13" s="48" t="s">
        <v>179</v>
      </c>
      <c r="D13" s="33">
        <v>2.89</v>
      </c>
      <c r="E13" s="33">
        <v>6.36</v>
      </c>
      <c r="F13" s="33">
        <v>5.16</v>
      </c>
      <c r="G13" s="33"/>
      <c r="H13" s="33"/>
      <c r="I13" s="33"/>
      <c r="J13" s="33"/>
      <c r="U13" s="33"/>
    </row>
    <row r="14" spans="1:21">
      <c r="A14" s="48" t="s">
        <v>180</v>
      </c>
      <c r="B14" s="33">
        <v>14.35</v>
      </c>
      <c r="C14" s="33">
        <v>17.67</v>
      </c>
      <c r="D14" s="33">
        <v>25.03</v>
      </c>
      <c r="E14" s="33">
        <v>32.84</v>
      </c>
      <c r="F14" s="33">
        <v>42.63</v>
      </c>
      <c r="G14" s="33">
        <v>69.26</v>
      </c>
      <c r="H14" s="33">
        <v>54.13</v>
      </c>
      <c r="I14" s="33">
        <v>43.7</v>
      </c>
      <c r="J14" s="33">
        <v>47.77</v>
      </c>
      <c r="K14" s="38">
        <f t="shared" ref="K14:P14" si="0">SUM(K3:K13)</f>
        <v>56.8835204737036</v>
      </c>
      <c r="L14" s="38">
        <f t="shared" si="0"/>
        <v>58.9220459115518</v>
      </c>
      <c r="M14" s="38">
        <f t="shared" si="0"/>
        <v>62.2964734467557</v>
      </c>
      <c r="N14" s="38">
        <f t="shared" si="0"/>
        <v>75.7442917393514</v>
      </c>
      <c r="O14" s="38">
        <f t="shared" si="0"/>
        <v>90.5415654194711</v>
      </c>
      <c r="P14" s="38">
        <f t="shared" si="0"/>
        <v>106.936608665118</v>
      </c>
      <c r="U14" s="33"/>
    </row>
    <row r="15" spans="1:1">
      <c r="A15" s="48" t="s">
        <v>181</v>
      </c>
    </row>
    <row r="16" spans="1:1">
      <c r="A16" s="48" t="s">
        <v>182</v>
      </c>
    </row>
    <row r="17" spans="1:21">
      <c r="A17" s="48" t="s">
        <v>183</v>
      </c>
      <c r="D17" s="33">
        <v>2.02</v>
      </c>
      <c r="E17" s="33">
        <v>0.5</v>
      </c>
      <c r="F17" s="33">
        <v>0.65</v>
      </c>
      <c r="G17" s="33">
        <v>1.2</v>
      </c>
      <c r="H17" s="33">
        <v>4.43</v>
      </c>
      <c r="I17" s="33">
        <v>5.49</v>
      </c>
      <c r="J17" s="33">
        <v>7.07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U17" s="33"/>
    </row>
    <row r="18" spans="1:21">
      <c r="A18" s="48" t="s">
        <v>184</v>
      </c>
      <c r="K18" s="35">
        <v>7.06</v>
      </c>
      <c r="L18" s="35">
        <f>K18</f>
        <v>7.06</v>
      </c>
      <c r="M18" s="35">
        <f>L18</f>
        <v>7.06</v>
      </c>
      <c r="N18" s="35">
        <f>M18</f>
        <v>7.06</v>
      </c>
      <c r="O18" s="35">
        <f>N18</f>
        <v>7.06</v>
      </c>
      <c r="P18" s="35">
        <f>O18</f>
        <v>7.06</v>
      </c>
      <c r="U18" s="33"/>
    </row>
    <row r="19" spans="1:21">
      <c r="A19" s="48" t="s">
        <v>185</v>
      </c>
      <c r="B19" s="33">
        <v>2.92</v>
      </c>
      <c r="C19" s="33">
        <v>3.58</v>
      </c>
      <c r="D19" s="33">
        <v>5.08</v>
      </c>
      <c r="E19" s="33">
        <v>6.34</v>
      </c>
      <c r="F19" s="33">
        <v>7.04</v>
      </c>
      <c r="G19" s="33">
        <v>1.18</v>
      </c>
      <c r="H19" s="33">
        <v>2.05</v>
      </c>
      <c r="I19" s="33">
        <v>2.07</v>
      </c>
      <c r="J19" s="33">
        <v>2.76</v>
      </c>
      <c r="K19" s="35">
        <f>资本开支假设!G30</f>
        <v>3.7</v>
      </c>
      <c r="L19" s="35">
        <f>资本开支假设!H30</f>
        <v>4.3</v>
      </c>
      <c r="M19" s="35">
        <f>资本开支假设!I30</f>
        <v>4.9</v>
      </c>
      <c r="N19" s="35">
        <f>资本开支假设!J30</f>
        <v>5.5</v>
      </c>
      <c r="O19" s="35">
        <f>资本开支假设!K30</f>
        <v>6.1</v>
      </c>
      <c r="P19" s="35">
        <f>资本开支假设!L30</f>
        <v>6.7</v>
      </c>
      <c r="U19" s="33"/>
    </row>
    <row r="20" spans="1:21">
      <c r="A20" s="48" t="s">
        <v>186</v>
      </c>
      <c r="B20" s="33">
        <v>2.58</v>
      </c>
      <c r="C20" s="33">
        <v>2.35</v>
      </c>
      <c r="D20" s="33">
        <v>2.17</v>
      </c>
      <c r="E20" s="33">
        <v>2.17</v>
      </c>
      <c r="F20" s="33">
        <v>2.16</v>
      </c>
      <c r="G20" s="33">
        <v>2.24</v>
      </c>
      <c r="H20" s="33">
        <v>2.07</v>
      </c>
      <c r="I20" s="33">
        <v>2.97</v>
      </c>
      <c r="J20" s="33">
        <v>11.89</v>
      </c>
      <c r="K20" s="38">
        <f>资本开支假设!G13</f>
        <v>11.601</v>
      </c>
      <c r="L20" s="38">
        <f>资本开支假设!H13</f>
        <v>10.4409</v>
      </c>
      <c r="M20" s="38">
        <f>资本开支假设!I13</f>
        <v>9.39681</v>
      </c>
      <c r="N20" s="38">
        <f>资本开支假设!J13</f>
        <v>9.222129</v>
      </c>
      <c r="O20" s="38">
        <f>资本开支假设!K13</f>
        <v>9.4474161</v>
      </c>
      <c r="P20" s="38">
        <f>资本开支假设!L13</f>
        <v>9.65017449</v>
      </c>
      <c r="U20" s="33"/>
    </row>
    <row r="21" spans="1:21">
      <c r="A21" s="48" t="s">
        <v>187</v>
      </c>
      <c r="B21" s="33">
        <v>0.32</v>
      </c>
      <c r="C21" s="33">
        <v>0.17</v>
      </c>
      <c r="D21" s="33">
        <v>0.1</v>
      </c>
      <c r="E21" s="33">
        <v>0.46</v>
      </c>
      <c r="F21" s="33">
        <v>0.29</v>
      </c>
      <c r="G21" s="33">
        <v>1.53</v>
      </c>
      <c r="H21" s="33">
        <v>5.85</v>
      </c>
      <c r="I21" s="33">
        <v>9.29</v>
      </c>
      <c r="J21" s="33">
        <v>0.17</v>
      </c>
      <c r="K21" s="35">
        <f>资本开支假设!G19</f>
        <v>0</v>
      </c>
      <c r="L21" s="35">
        <f>资本开支假设!H19</f>
        <v>0</v>
      </c>
      <c r="M21" s="35">
        <f>资本开支假设!I19</f>
        <v>0</v>
      </c>
      <c r="N21" s="35">
        <f>资本开支假设!J19</f>
        <v>0.15</v>
      </c>
      <c r="O21" s="38">
        <f>资本开支假设!K19</f>
        <v>0.2475</v>
      </c>
      <c r="P21" s="38">
        <f>资本开支假设!L19</f>
        <v>0.262125</v>
      </c>
      <c r="U21" s="33"/>
    </row>
    <row r="22" spans="1:21">
      <c r="A22" s="48" t="s">
        <v>188</v>
      </c>
      <c r="B22" s="33">
        <v>0.31</v>
      </c>
      <c r="C22" s="33">
        <v>0.94</v>
      </c>
      <c r="D22" s="33">
        <v>1.15</v>
      </c>
      <c r="E22" s="33">
        <v>1.37</v>
      </c>
      <c r="F22" s="33">
        <v>1.36</v>
      </c>
      <c r="G22" s="33">
        <v>3.34</v>
      </c>
      <c r="H22" s="33">
        <v>3.18</v>
      </c>
      <c r="I22" s="33">
        <v>8.22</v>
      </c>
      <c r="J22" s="33">
        <v>8.16</v>
      </c>
      <c r="K22" s="38">
        <f>资本开支假设!G26</f>
        <v>7.7928</v>
      </c>
      <c r="L22" s="38">
        <f>资本开支假设!H26</f>
        <v>7.442124</v>
      </c>
      <c r="M22" s="38">
        <f>资本开支假设!I26</f>
        <v>7.39372842</v>
      </c>
      <c r="N22" s="38">
        <f>资本开支假设!J26</f>
        <v>7.3475106411</v>
      </c>
      <c r="O22" s="38">
        <f>资本开支假设!K26</f>
        <v>7.4943726622505</v>
      </c>
      <c r="P22" s="38">
        <f>资本开支假设!L26</f>
        <v>7.63462589244923</v>
      </c>
      <c r="U22" s="33"/>
    </row>
    <row r="23" spans="1:21">
      <c r="A23" s="48" t="s">
        <v>189</v>
      </c>
      <c r="I23" s="33">
        <v>0.11</v>
      </c>
      <c r="J23" s="33">
        <v>0.29</v>
      </c>
      <c r="K23" s="35">
        <v>0.21</v>
      </c>
      <c r="L23" s="38">
        <f>K23*1.05</f>
        <v>0.2205</v>
      </c>
      <c r="M23" s="38">
        <f>L23*1.05</f>
        <v>0.231525</v>
      </c>
      <c r="N23" s="38">
        <f>M23*1.05</f>
        <v>0.24310125</v>
      </c>
      <c r="O23" s="38">
        <f>N23*1.05</f>
        <v>0.2552563125</v>
      </c>
      <c r="P23" s="38">
        <f>O23*1.05</f>
        <v>0.268019128125</v>
      </c>
      <c r="U23" s="33"/>
    </row>
    <row r="24" spans="1:21">
      <c r="A24" s="48" t="s">
        <v>190</v>
      </c>
      <c r="I24" s="33">
        <v>19.61</v>
      </c>
      <c r="J24" s="33">
        <v>19.38</v>
      </c>
      <c r="K24" s="35">
        <v>19.48</v>
      </c>
      <c r="L24" s="38">
        <f>K24*0.95</f>
        <v>18.506</v>
      </c>
      <c r="M24" s="38">
        <f>L24*0.95</f>
        <v>17.5807</v>
      </c>
      <c r="N24" s="38">
        <f>M24*0.95</f>
        <v>16.701665</v>
      </c>
      <c r="O24" s="38">
        <f>N24*0.95</f>
        <v>15.86658175</v>
      </c>
      <c r="P24" s="38">
        <f>O24*0.95</f>
        <v>15.0732526625</v>
      </c>
      <c r="U24" s="33"/>
    </row>
    <row r="25" spans="1:21">
      <c r="A25" s="48" t="s">
        <v>191</v>
      </c>
      <c r="B25" s="33">
        <v>0.44</v>
      </c>
      <c r="C25" s="33">
        <v>0.5</v>
      </c>
      <c r="D25" s="33">
        <v>0.55</v>
      </c>
      <c r="E25" s="33">
        <v>0.65</v>
      </c>
      <c r="F25" s="33">
        <v>0.63</v>
      </c>
      <c r="G25" s="33">
        <v>0.87</v>
      </c>
      <c r="H25" s="33">
        <v>1.66</v>
      </c>
      <c r="I25" s="33">
        <v>1.12</v>
      </c>
      <c r="J25" s="33">
        <v>1.02</v>
      </c>
      <c r="K25" s="38">
        <f>IS!K4/资产负债表假设!H17</f>
        <v>1.10290158490566</v>
      </c>
      <c r="L25" s="38">
        <f>IS!L4/资产负债表假设!I17</f>
        <v>1.19912867037037</v>
      </c>
      <c r="M25" s="38">
        <f>IS!M4/资产负债表假设!J17</f>
        <v>1.33574219196296</v>
      </c>
      <c r="N25" s="38">
        <f>IS!N4/资产负债表假设!K17</f>
        <v>1.47283917216889</v>
      </c>
      <c r="O25" s="38">
        <f>IS!O4/资产负债表假设!L17</f>
        <v>1.58208777898453</v>
      </c>
      <c r="P25" s="38">
        <f>IS!P4/资产负债表假设!M17</f>
        <v>1.76095520078268</v>
      </c>
      <c r="U25" s="33"/>
    </row>
    <row r="26" spans="1:21">
      <c r="A26" s="48" t="s">
        <v>192</v>
      </c>
      <c r="B26" s="33">
        <v>0.3</v>
      </c>
      <c r="C26" s="33">
        <v>0.26</v>
      </c>
      <c r="D26" s="33">
        <v>0.47</v>
      </c>
      <c r="E26" s="33">
        <v>0.89</v>
      </c>
      <c r="F26" s="33">
        <v>0.6</v>
      </c>
      <c r="G26" s="33">
        <v>0.93</v>
      </c>
      <c r="H26" s="33">
        <v>1.31</v>
      </c>
      <c r="I26" s="33">
        <v>1.84</v>
      </c>
      <c r="J26" s="33">
        <v>1.39</v>
      </c>
      <c r="K26" s="38">
        <f>IS!K4/资产负债表假设!H18</f>
        <v>1.52223395833333</v>
      </c>
      <c r="L26" s="38">
        <f>IS!L4/资产负债表假设!I18</f>
        <v>1.68627469270833</v>
      </c>
      <c r="M26" s="38">
        <f>IS!M4/资产负债表假设!J18</f>
        <v>1.87838745744792</v>
      </c>
      <c r="N26" s="38">
        <f>IS!N4/资产负债表假设!K18</f>
        <v>2.0711800858625</v>
      </c>
      <c r="O26" s="38">
        <f>IS!O4/资产负债表假设!L18</f>
        <v>2.224810939197</v>
      </c>
      <c r="P26" s="38">
        <f>IS!P4/资产负债表假设!M18</f>
        <v>2.47634325110064</v>
      </c>
      <c r="U26" s="33"/>
    </row>
    <row r="27" spans="1:21">
      <c r="A27" s="48" t="s">
        <v>193</v>
      </c>
      <c r="D27" s="33">
        <v>0.08</v>
      </c>
      <c r="G27" s="33">
        <v>1.03</v>
      </c>
      <c r="H27" s="33">
        <v>1.66</v>
      </c>
      <c r="I27" s="33">
        <v>1.62</v>
      </c>
      <c r="J27" s="33">
        <v>1.68</v>
      </c>
      <c r="K27" s="35">
        <v>0.54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U27" s="33"/>
    </row>
    <row r="28" spans="1:21">
      <c r="A28" s="48" t="s">
        <v>194</v>
      </c>
      <c r="B28" s="33">
        <v>6.88</v>
      </c>
      <c r="C28" s="33">
        <v>7.79</v>
      </c>
      <c r="D28" s="33">
        <v>11.63</v>
      </c>
      <c r="E28" s="33">
        <v>12.36</v>
      </c>
      <c r="F28" s="33">
        <v>12.7</v>
      </c>
      <c r="G28" s="33">
        <v>12.33</v>
      </c>
      <c r="H28" s="33">
        <v>22.19</v>
      </c>
      <c r="I28" s="33">
        <v>52.34</v>
      </c>
      <c r="J28" s="33">
        <v>53.83</v>
      </c>
      <c r="K28" s="38">
        <f t="shared" ref="K28:P28" si="1">SUM(K16:K27)</f>
        <v>53.008935543239</v>
      </c>
      <c r="L28" s="38">
        <f t="shared" si="1"/>
        <v>50.8549273630787</v>
      </c>
      <c r="M28" s="38">
        <f t="shared" si="1"/>
        <v>49.7768930694109</v>
      </c>
      <c r="N28" s="38">
        <f t="shared" si="1"/>
        <v>49.7684251491314</v>
      </c>
      <c r="O28" s="38">
        <f t="shared" si="1"/>
        <v>50.278025542932</v>
      </c>
      <c r="P28" s="38">
        <f t="shared" si="1"/>
        <v>50.8854956249575</v>
      </c>
      <c r="U28" s="33"/>
    </row>
    <row r="29" spans="1:21">
      <c r="A29" s="48" t="s">
        <v>195</v>
      </c>
      <c r="B29" s="33">
        <v>21.22</v>
      </c>
      <c r="C29" s="33">
        <v>25.47</v>
      </c>
      <c r="D29" s="33">
        <v>36.66</v>
      </c>
      <c r="E29" s="33">
        <v>45.2</v>
      </c>
      <c r="F29" s="33">
        <v>55.34</v>
      </c>
      <c r="G29" s="33">
        <v>81.59</v>
      </c>
      <c r="H29" s="33">
        <v>76.32</v>
      </c>
      <c r="I29" s="33">
        <v>96.04</v>
      </c>
      <c r="J29" s="33">
        <v>101.6</v>
      </c>
      <c r="K29" s="38">
        <f t="shared" ref="K29:P29" si="2">K14+K28</f>
        <v>109.892456016943</v>
      </c>
      <c r="L29" s="38">
        <f t="shared" si="2"/>
        <v>109.77697327463</v>
      </c>
      <c r="M29" s="38">
        <f t="shared" si="2"/>
        <v>112.073366516167</v>
      </c>
      <c r="N29" s="38">
        <f t="shared" si="2"/>
        <v>125.512716888483</v>
      </c>
      <c r="O29" s="38">
        <f t="shared" si="2"/>
        <v>140.819590962403</v>
      </c>
      <c r="P29" s="38">
        <f t="shared" si="2"/>
        <v>157.822104290076</v>
      </c>
      <c r="U29" s="33"/>
    </row>
    <row r="30" spans="1:1">
      <c r="A30" s="48" t="s">
        <v>196</v>
      </c>
    </row>
    <row r="31" spans="1:16">
      <c r="A31" s="48" t="s">
        <v>197</v>
      </c>
      <c r="B31" s="33">
        <v>0.14</v>
      </c>
      <c r="C31" s="33">
        <v>0.1</v>
      </c>
      <c r="I31" s="33">
        <v>0.19</v>
      </c>
      <c r="J31" s="33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</row>
    <row r="32" spans="1:21">
      <c r="A32" s="48" t="s">
        <v>198</v>
      </c>
      <c r="B32" s="33">
        <v>3.02</v>
      </c>
      <c r="C32" s="33">
        <v>3.59</v>
      </c>
      <c r="D32" s="33">
        <v>3.34</v>
      </c>
      <c r="E32" s="33">
        <v>3.73</v>
      </c>
      <c r="F32" s="33">
        <v>4.95</v>
      </c>
      <c r="G32" s="33">
        <v>6.41</v>
      </c>
      <c r="H32" s="33">
        <v>4.85</v>
      </c>
      <c r="I32" s="33">
        <v>6.84</v>
      </c>
      <c r="J32" s="33">
        <v>8.28</v>
      </c>
      <c r="K32" s="38">
        <f>IS!K4/资产负债表假设!H11</f>
        <v>8.77684444444444</v>
      </c>
      <c r="L32" s="38">
        <f>IS!L4/资产负债表假设!I11</f>
        <v>9.25042117142857</v>
      </c>
      <c r="M32" s="38">
        <f>IS!M4/资产负债表假设!J11</f>
        <v>10.3042969094286</v>
      </c>
      <c r="N32" s="38">
        <f>IS!N4/资产负债表假设!K11</f>
        <v>11.3619021853029</v>
      </c>
      <c r="O32" s="38">
        <f>IS!O4/资产负债表假设!L11</f>
        <v>12.2046771521664</v>
      </c>
      <c r="P32" s="38">
        <f>IS!P4/资产负债表假设!M11</f>
        <v>13.5845115488949</v>
      </c>
      <c r="U32" s="33"/>
    </row>
    <row r="33" spans="1:21">
      <c r="A33" s="48" t="s">
        <v>199</v>
      </c>
      <c r="B33" s="33">
        <v>0.42</v>
      </c>
      <c r="C33" s="33">
        <v>0.63</v>
      </c>
      <c r="D33" s="33">
        <v>0.68</v>
      </c>
      <c r="E33" s="33">
        <v>0.88</v>
      </c>
      <c r="F33" s="33">
        <v>0.91</v>
      </c>
      <c r="G33" s="33">
        <v>0.8</v>
      </c>
      <c r="H33" s="33">
        <v>0.92</v>
      </c>
      <c r="I33" s="33">
        <v>0.85</v>
      </c>
      <c r="J33" s="33">
        <v>0.87</v>
      </c>
      <c r="K33" s="38">
        <f>IS!K4/资产负债表假设!H12</f>
        <v>1.00782386206897</v>
      </c>
      <c r="L33" s="38">
        <f>IS!L4/资产负债表假设!I12</f>
        <v>1.18162314233577</v>
      </c>
      <c r="M33" s="38">
        <f>IS!M4/资产负债表假设!J12</f>
        <v>1.31624230594891</v>
      </c>
      <c r="N33" s="38">
        <f>IS!N4/资产负债表假设!K12</f>
        <v>1.4513378703854</v>
      </c>
      <c r="O33" s="38">
        <f>IS!O4/资产负债表假设!L12</f>
        <v>1.55899160702856</v>
      </c>
      <c r="P33" s="38">
        <f>IS!P4/资产负债表假设!M12</f>
        <v>1.73524782558877</v>
      </c>
      <c r="U33" s="33"/>
    </row>
    <row r="34" spans="1:21">
      <c r="A34" s="50" t="s">
        <v>200</v>
      </c>
      <c r="B34" s="33"/>
      <c r="C34" s="33"/>
      <c r="D34" s="33"/>
      <c r="E34" s="33"/>
      <c r="F34" s="33"/>
      <c r="G34" s="33">
        <f>G35+G36</f>
        <v>5.19</v>
      </c>
      <c r="H34" s="33">
        <f>H35+H36</f>
        <v>1.49</v>
      </c>
      <c r="I34" s="33">
        <f>I35+I36</f>
        <v>3.14</v>
      </c>
      <c r="J34" s="33">
        <f>J35+J36</f>
        <v>3.5</v>
      </c>
      <c r="K34" s="38">
        <f>IS!K4/资产负债表假设!H13</f>
        <v>3.89691893333333</v>
      </c>
      <c r="L34" s="38">
        <f>IS!L4/资产负债表假设!I13</f>
        <v>4.31686321333333</v>
      </c>
      <c r="M34" s="38">
        <f>IS!M4/资产负债表假设!J13</f>
        <v>4.80867189106667</v>
      </c>
      <c r="N34" s="38">
        <f>IS!N4/资产负债表假设!K13</f>
        <v>5.302221019808</v>
      </c>
      <c r="O34" s="38">
        <f>IS!O4/资产负债表假设!L13</f>
        <v>5.69551600434432</v>
      </c>
      <c r="P34" s="38">
        <f>IS!P4/资产负债表假设!M13</f>
        <v>6.33943872281764</v>
      </c>
      <c r="U34" s="33"/>
    </row>
    <row r="35" spans="1:21">
      <c r="A35" s="50" t="s">
        <v>201</v>
      </c>
      <c r="B35" s="33">
        <v>0.16</v>
      </c>
      <c r="C35" s="33">
        <v>0.22</v>
      </c>
      <c r="D35" s="33">
        <v>0.33</v>
      </c>
      <c r="E35" s="33">
        <v>0.35</v>
      </c>
      <c r="F35" s="33">
        <v>0.58</v>
      </c>
      <c r="G35" s="33">
        <v>0.76</v>
      </c>
      <c r="H35" s="33">
        <v>0.83</v>
      </c>
      <c r="I35" s="33">
        <v>1.55</v>
      </c>
      <c r="J35" s="33">
        <v>1.68</v>
      </c>
      <c r="U35" s="33"/>
    </row>
    <row r="36" spans="1:21">
      <c r="A36" s="50" t="s">
        <v>202</v>
      </c>
      <c r="B36" s="33">
        <v>0.83</v>
      </c>
      <c r="C36" s="33">
        <v>0.8</v>
      </c>
      <c r="D36" s="33">
        <v>1.2</v>
      </c>
      <c r="E36" s="33">
        <v>1.19</v>
      </c>
      <c r="F36" s="33">
        <v>1.7</v>
      </c>
      <c r="G36" s="33">
        <v>4.43</v>
      </c>
      <c r="H36" s="33">
        <v>0.66</v>
      </c>
      <c r="I36" s="33">
        <v>1.59</v>
      </c>
      <c r="J36" s="33">
        <v>1.82</v>
      </c>
      <c r="U36" s="33"/>
    </row>
    <row r="37" spans="1:21">
      <c r="A37" s="48" t="s">
        <v>203</v>
      </c>
      <c r="B37" s="33">
        <v>1.44</v>
      </c>
      <c r="C37" s="33">
        <v>2.28</v>
      </c>
      <c r="D37" s="33">
        <v>4.23</v>
      </c>
      <c r="E37" s="33">
        <v>4.58</v>
      </c>
      <c r="F37" s="33">
        <v>7.72</v>
      </c>
      <c r="G37" s="33">
        <v>8.39</v>
      </c>
      <c r="H37" s="33">
        <v>11.43</v>
      </c>
      <c r="I37" s="33">
        <v>13.94</v>
      </c>
      <c r="J37" s="33">
        <v>14.21</v>
      </c>
      <c r="K37" s="38">
        <f>IS!K4/资产负债表假设!H14</f>
        <v>16.5123683615819</v>
      </c>
      <c r="L37" s="38">
        <f>IS!L4/资产负债表假设!I14</f>
        <v>18.2917932768362</v>
      </c>
      <c r="M37" s="38">
        <f>IS!M4/资产负债表假设!J14</f>
        <v>20.3757283519774</v>
      </c>
      <c r="N37" s="38">
        <f>IS!N4/资产负债表假设!K14</f>
        <v>22.4670382195254</v>
      </c>
      <c r="O37" s="38">
        <f>IS!O4/资产负债表假设!L14</f>
        <v>24.1335423912895</v>
      </c>
      <c r="P37" s="38">
        <f>IS!P4/资产负债表假设!M14</f>
        <v>26.8620284865154</v>
      </c>
      <c r="U37" s="33"/>
    </row>
    <row r="38" spans="1:1">
      <c r="A38" s="48" t="s">
        <v>204</v>
      </c>
    </row>
    <row r="39" spans="1:9">
      <c r="A39" s="48" t="s">
        <v>205</v>
      </c>
      <c r="B39" s="33">
        <v>0.01</v>
      </c>
      <c r="C39" s="33">
        <v>0.01</v>
      </c>
      <c r="D39" s="33">
        <v>0.1</v>
      </c>
      <c r="E39" s="33">
        <v>0.17</v>
      </c>
      <c r="F39" s="33">
        <v>0.14</v>
      </c>
      <c r="G39" s="33">
        <v>0.01</v>
      </c>
      <c r="H39" s="33">
        <v>0.04</v>
      </c>
      <c r="I39" s="33">
        <v>0.03</v>
      </c>
    </row>
    <row r="40" spans="1:10">
      <c r="A40" s="48" t="s">
        <v>206</v>
      </c>
      <c r="B40" s="33">
        <v>1.44</v>
      </c>
      <c r="C40" s="33">
        <v>2.27</v>
      </c>
      <c r="D40" s="33">
        <v>4.12</v>
      </c>
      <c r="E40" s="33">
        <v>4.42</v>
      </c>
      <c r="F40" s="33">
        <v>7.58</v>
      </c>
      <c r="G40" s="33">
        <v>8.37</v>
      </c>
      <c r="H40" s="33">
        <v>11.4</v>
      </c>
      <c r="I40" s="33">
        <v>13.91</v>
      </c>
      <c r="J40" s="33">
        <v>14.21</v>
      </c>
    </row>
    <row r="41" spans="1:1">
      <c r="A41" s="48" t="s">
        <v>207</v>
      </c>
    </row>
    <row r="42" spans="1:21">
      <c r="A42" s="48" t="s">
        <v>208</v>
      </c>
      <c r="I42" s="33">
        <v>0.04</v>
      </c>
      <c r="J42" s="33">
        <v>0.06</v>
      </c>
      <c r="U42" s="33"/>
    </row>
    <row r="43" spans="1:10">
      <c r="A43" s="48" t="s">
        <v>209</v>
      </c>
      <c r="E43" s="33">
        <v>0.56</v>
      </c>
      <c r="I43" s="33">
        <v>0.08</v>
      </c>
      <c r="J43" s="33">
        <v>0</v>
      </c>
    </row>
    <row r="44" spans="1:21">
      <c r="A44" s="48" t="s">
        <v>210</v>
      </c>
      <c r="B44" s="33">
        <v>6</v>
      </c>
      <c r="C44" s="33">
        <v>7.63</v>
      </c>
      <c r="D44" s="33">
        <v>9.77</v>
      </c>
      <c r="E44" s="33">
        <v>11.3</v>
      </c>
      <c r="F44" s="33">
        <v>15.86</v>
      </c>
      <c r="G44" s="33">
        <v>20.79</v>
      </c>
      <c r="H44" s="33">
        <v>18.69</v>
      </c>
      <c r="I44" s="33">
        <v>25.08</v>
      </c>
      <c r="J44" s="33">
        <v>26.91</v>
      </c>
      <c r="K44" s="38">
        <f t="shared" ref="K44:P44" si="3">SUM(K31:K43)</f>
        <v>30.1939556014287</v>
      </c>
      <c r="L44" s="38">
        <f t="shared" si="3"/>
        <v>33.0407008039338</v>
      </c>
      <c r="M44" s="38">
        <f t="shared" si="3"/>
        <v>36.8049394584216</v>
      </c>
      <c r="N44" s="38">
        <f t="shared" si="3"/>
        <v>40.5824992950217</v>
      </c>
      <c r="O44" s="38">
        <f t="shared" si="3"/>
        <v>43.5927271548288</v>
      </c>
      <c r="P44" s="38">
        <f t="shared" si="3"/>
        <v>48.5212265838168</v>
      </c>
      <c r="U44" s="33"/>
    </row>
    <row r="45" spans="1:1">
      <c r="A45" s="48" t="s">
        <v>211</v>
      </c>
    </row>
    <row r="46" spans="1:21">
      <c r="A46" s="48" t="s">
        <v>212</v>
      </c>
      <c r="I46" s="33">
        <v>10.79</v>
      </c>
      <c r="J46" s="33">
        <v>10.73</v>
      </c>
      <c r="K46" s="35">
        <v>10.83</v>
      </c>
      <c r="L46" s="35">
        <f>资产负债表假设!I22</f>
        <v>7.83</v>
      </c>
      <c r="M46" s="35">
        <f>资产负债表假设!J22</f>
        <v>4.83</v>
      </c>
      <c r="N46" s="35">
        <f>资产负债表假设!K22</f>
        <v>0.83</v>
      </c>
      <c r="O46" s="35">
        <f>资产负债表假设!L22</f>
        <v>0</v>
      </c>
      <c r="P46" s="35">
        <f>资产负债表假设!M22</f>
        <v>0</v>
      </c>
      <c r="U46" s="33"/>
    </row>
    <row r="47" spans="1:1">
      <c r="A47" s="48" t="s">
        <v>213</v>
      </c>
    </row>
    <row r="48" spans="1:21">
      <c r="A48" s="48" t="s">
        <v>214</v>
      </c>
      <c r="F48" s="33">
        <v>0.12</v>
      </c>
      <c r="G48" s="33">
        <v>0.13</v>
      </c>
      <c r="H48" s="33">
        <v>0.02</v>
      </c>
      <c r="I48" s="33">
        <v>0.62</v>
      </c>
      <c r="J48" s="33">
        <v>0.92</v>
      </c>
      <c r="K48" s="38">
        <f>IS!K4/资产负债表假设!H28</f>
        <v>1.00782386206897</v>
      </c>
      <c r="L48" s="38">
        <f>IS!L4/资产负债表假设!I28</f>
        <v>1.11643014137931</v>
      </c>
      <c r="M48" s="38">
        <f>IS!M4/资产负债表假设!J28</f>
        <v>1.2436220407931</v>
      </c>
      <c r="N48" s="38">
        <f>IS!N4/资产负债表假设!K28</f>
        <v>1.3712640568469</v>
      </c>
      <c r="O48" s="38">
        <f>IS!O4/资产负债表假设!L28</f>
        <v>1.4729782769856</v>
      </c>
      <c r="P48" s="38">
        <f>IS!P4/资产负债表假设!M28</f>
        <v>1.6395100145218</v>
      </c>
      <c r="U48" s="33"/>
    </row>
    <row r="49" spans="1:8">
      <c r="A49" s="48" t="s">
        <v>215</v>
      </c>
      <c r="H49" s="33">
        <v>0.35</v>
      </c>
    </row>
    <row r="50" spans="1:21">
      <c r="A50" s="48" t="s">
        <v>216</v>
      </c>
      <c r="D50" s="33">
        <v>0.08</v>
      </c>
      <c r="E50" s="33">
        <v>0.1</v>
      </c>
      <c r="F50" s="33">
        <v>0.55</v>
      </c>
      <c r="I50" s="33">
        <v>0.94</v>
      </c>
      <c r="J50" s="33">
        <v>0.88</v>
      </c>
      <c r="K50" s="38">
        <f>IS!K4/资产负债表假设!H30</f>
        <v>1.08247748148148</v>
      </c>
      <c r="L50" s="38">
        <f>IS!L4/资产负债表假设!I30</f>
        <v>1.19912867037037</v>
      </c>
      <c r="M50" s="38">
        <f>IS!M4/资产负债表假设!J30</f>
        <v>1.33574219196296</v>
      </c>
      <c r="N50" s="38">
        <f>IS!N4/资产负债表假设!K30</f>
        <v>1.47283917216889</v>
      </c>
      <c r="O50" s="38">
        <f>IS!O4/资产负债表假设!L30</f>
        <v>1.58208777898453</v>
      </c>
      <c r="P50" s="38">
        <f>IS!P4/资产负债表假设!M30</f>
        <v>1.76095520078268</v>
      </c>
      <c r="U50" s="33"/>
    </row>
    <row r="51" spans="1:21">
      <c r="A51" s="48" t="s">
        <v>217</v>
      </c>
      <c r="F51" s="33">
        <v>0.76</v>
      </c>
      <c r="G51" s="33">
        <v>3.39</v>
      </c>
      <c r="H51" s="33">
        <v>4.62</v>
      </c>
      <c r="I51" s="33">
        <v>4.84</v>
      </c>
      <c r="J51" s="33">
        <v>4.02</v>
      </c>
      <c r="K51" s="52">
        <f>IS!K2/资产负债表假设!H31</f>
        <v>5.16588666666667</v>
      </c>
      <c r="L51" s="52">
        <f>IS!L2/资产负债表假设!I31</f>
        <v>5.72609566666667</v>
      </c>
      <c r="M51" s="52">
        <f>IS!M2/资产负债表假设!J31</f>
        <v>6.37018042333333</v>
      </c>
      <c r="N51" s="52">
        <f>IS!N2/资产负债表假设!K31</f>
        <v>7.0776491368</v>
      </c>
      <c r="O51" s="52">
        <f>IS!O2/资产负债表假设!L31</f>
        <v>7.866551718816</v>
      </c>
      <c r="P51" s="52">
        <f>IS!P2/资产负债表假设!M31</f>
        <v>8.74676057923392</v>
      </c>
      <c r="U51" s="33"/>
    </row>
    <row r="52" spans="1:21">
      <c r="A52" s="48" t="s">
        <v>218</v>
      </c>
      <c r="B52" s="33">
        <v>0.04</v>
      </c>
      <c r="C52" s="33">
        <v>0.02</v>
      </c>
      <c r="D52" s="33">
        <v>0.11</v>
      </c>
      <c r="E52" s="33">
        <v>0.25</v>
      </c>
      <c r="F52" s="33">
        <v>1.42</v>
      </c>
      <c r="G52" s="33">
        <v>3.52</v>
      </c>
      <c r="H52" s="33">
        <v>4.99</v>
      </c>
      <c r="I52" s="33">
        <v>17.19</v>
      </c>
      <c r="J52" s="33">
        <v>16.56</v>
      </c>
      <c r="K52" s="38">
        <f t="shared" ref="K52:P52" si="4">SUM(K46:K51)</f>
        <v>18.0861880102171</v>
      </c>
      <c r="L52" s="38">
        <f t="shared" si="4"/>
        <v>15.8716544784163</v>
      </c>
      <c r="M52" s="38">
        <f t="shared" si="4"/>
        <v>13.7795446560894</v>
      </c>
      <c r="N52" s="38">
        <f t="shared" si="4"/>
        <v>10.7517523658158</v>
      </c>
      <c r="O52" s="38">
        <f t="shared" si="4"/>
        <v>10.9216177747861</v>
      </c>
      <c r="P52" s="38">
        <f t="shared" si="4"/>
        <v>12.1472257945384</v>
      </c>
      <c r="U52" s="33"/>
    </row>
    <row r="53" spans="1:21">
      <c r="A53" s="48" t="s">
        <v>219</v>
      </c>
      <c r="B53" s="33">
        <v>6.04</v>
      </c>
      <c r="C53" s="33">
        <v>7.65</v>
      </c>
      <c r="D53" s="33">
        <v>9.88</v>
      </c>
      <c r="E53" s="33">
        <v>11.55</v>
      </c>
      <c r="F53" s="33">
        <v>17.28</v>
      </c>
      <c r="G53" s="33">
        <v>24.31</v>
      </c>
      <c r="H53" s="33">
        <v>23.68</v>
      </c>
      <c r="I53" s="33">
        <v>42.27</v>
      </c>
      <c r="J53" s="33">
        <v>43.47</v>
      </c>
      <c r="K53" s="38">
        <f t="shared" ref="K53:P53" si="5">K44+K52</f>
        <v>48.2801436116458</v>
      </c>
      <c r="L53" s="38">
        <f t="shared" si="5"/>
        <v>48.9123552823502</v>
      </c>
      <c r="M53" s="38">
        <f t="shared" si="5"/>
        <v>50.584484114511</v>
      </c>
      <c r="N53" s="38">
        <f t="shared" si="5"/>
        <v>51.3342516608375</v>
      </c>
      <c r="O53" s="38">
        <f t="shared" si="5"/>
        <v>54.5143449296149</v>
      </c>
      <c r="P53" s="38">
        <f t="shared" si="5"/>
        <v>60.6684523783552</v>
      </c>
      <c r="U53" s="33"/>
    </row>
    <row r="54" spans="1:1">
      <c r="A54" s="48" t="s">
        <v>220</v>
      </c>
    </row>
    <row r="55" spans="1:21">
      <c r="A55" s="48" t="s">
        <v>221</v>
      </c>
      <c r="B55" s="33">
        <v>4.23</v>
      </c>
      <c r="C55" s="33">
        <v>4.23</v>
      </c>
      <c r="D55" s="33">
        <v>4.48</v>
      </c>
      <c r="E55" s="33">
        <v>6.72</v>
      </c>
      <c r="F55" s="33">
        <v>6.72</v>
      </c>
      <c r="G55" s="33">
        <v>6.74</v>
      </c>
      <c r="H55" s="33">
        <v>6.73</v>
      </c>
      <c r="I55" s="33">
        <v>6.73</v>
      </c>
      <c r="J55" s="33">
        <v>6.71</v>
      </c>
      <c r="K55" s="35">
        <f t="shared" ref="K55:P55" si="6">J55</f>
        <v>6.71</v>
      </c>
      <c r="L55" s="35">
        <f t="shared" si="6"/>
        <v>6.71</v>
      </c>
      <c r="M55" s="35">
        <f t="shared" si="6"/>
        <v>6.71</v>
      </c>
      <c r="N55" s="35">
        <f t="shared" si="6"/>
        <v>6.71</v>
      </c>
      <c r="O55" s="35">
        <f t="shared" si="6"/>
        <v>6.71</v>
      </c>
      <c r="P55" s="35">
        <f t="shared" si="6"/>
        <v>6.71</v>
      </c>
      <c r="U55" s="33"/>
    </row>
    <row r="56" spans="1:21">
      <c r="A56" s="48" t="s">
        <v>222</v>
      </c>
      <c r="B56" s="33">
        <v>3.71</v>
      </c>
      <c r="C56" s="33">
        <v>3.78</v>
      </c>
      <c r="D56" s="33">
        <v>8.68</v>
      </c>
      <c r="E56" s="33">
        <v>10.51</v>
      </c>
      <c r="F56" s="33">
        <v>11.44</v>
      </c>
      <c r="G56" s="33">
        <v>11.44</v>
      </c>
      <c r="H56" s="33">
        <v>11.27</v>
      </c>
      <c r="I56" s="33">
        <v>8.78</v>
      </c>
      <c r="J56" s="33">
        <v>8.58</v>
      </c>
      <c r="U56" s="33"/>
    </row>
    <row r="57" spans="1:21">
      <c r="A57" s="48" t="s">
        <v>223</v>
      </c>
      <c r="F57" s="33">
        <v>1.26</v>
      </c>
      <c r="G57" s="33">
        <v>0.52</v>
      </c>
      <c r="H57" s="33">
        <v>0.4</v>
      </c>
      <c r="I57" s="33">
        <v>0.38</v>
      </c>
      <c r="J57" s="33">
        <v>0.06</v>
      </c>
      <c r="U57" s="33"/>
    </row>
    <row r="58" spans="1:21">
      <c r="A58" s="48" t="s">
        <v>224</v>
      </c>
      <c r="F58" s="33">
        <v>0.02</v>
      </c>
      <c r="G58" s="33">
        <v>0.51</v>
      </c>
      <c r="H58" s="33">
        <v>0.43</v>
      </c>
      <c r="I58" s="33">
        <v>0.95</v>
      </c>
      <c r="J58" s="33">
        <v>1.02</v>
      </c>
      <c r="U58" s="33"/>
    </row>
    <row r="59" spans="1:21">
      <c r="A59" s="48" t="s">
        <v>225</v>
      </c>
      <c r="B59" s="33">
        <v>1.19</v>
      </c>
      <c r="C59" s="33">
        <v>1.62</v>
      </c>
      <c r="D59" s="33">
        <v>2.21</v>
      </c>
      <c r="E59" s="33">
        <v>2.99</v>
      </c>
      <c r="F59" s="33">
        <v>3.92</v>
      </c>
      <c r="G59" s="33">
        <v>3.92</v>
      </c>
      <c r="H59" s="33">
        <v>3.92</v>
      </c>
      <c r="I59" s="33">
        <v>3.92</v>
      </c>
      <c r="J59" s="33">
        <v>3.92</v>
      </c>
      <c r="U59" s="33"/>
    </row>
    <row r="60" spans="1:21">
      <c r="A60" s="48" t="s">
        <v>226</v>
      </c>
      <c r="B60" s="33">
        <v>5.85</v>
      </c>
      <c r="C60" s="33">
        <v>7.98</v>
      </c>
      <c r="D60" s="33">
        <v>11.21</v>
      </c>
      <c r="E60" s="33">
        <v>13.05</v>
      </c>
      <c r="F60" s="33">
        <v>17.2</v>
      </c>
      <c r="G60" s="33">
        <v>35.2</v>
      </c>
      <c r="H60" s="33">
        <v>30.68</v>
      </c>
      <c r="I60" s="33">
        <v>33.76</v>
      </c>
      <c r="J60" s="33">
        <v>37.95</v>
      </c>
      <c r="U60" s="33"/>
    </row>
    <row r="61" spans="1:21">
      <c r="A61" s="48" t="s">
        <v>227</v>
      </c>
      <c r="B61" s="33">
        <v>14.97</v>
      </c>
      <c r="C61" s="33">
        <v>17.59</v>
      </c>
      <c r="D61" s="33">
        <v>26.56</v>
      </c>
      <c r="E61" s="33">
        <v>33.25</v>
      </c>
      <c r="F61" s="33">
        <v>38.05</v>
      </c>
      <c r="G61" s="33">
        <v>57.29</v>
      </c>
      <c r="H61" s="33">
        <v>52.64</v>
      </c>
      <c r="I61" s="33">
        <v>53.77</v>
      </c>
      <c r="J61" s="33">
        <v>58.13</v>
      </c>
      <c r="U61" s="33"/>
    </row>
    <row r="62" spans="1:6">
      <c r="A62" s="48" t="s">
        <v>228</v>
      </c>
      <c r="B62" s="33">
        <v>0.21</v>
      </c>
      <c r="C62" s="33">
        <v>0.23</v>
      </c>
      <c r="D62" s="33">
        <v>0.21</v>
      </c>
      <c r="E62" s="33">
        <v>0.4</v>
      </c>
      <c r="F62" s="33">
        <v>0</v>
      </c>
    </row>
    <row r="63" spans="1:21">
      <c r="A63" s="48" t="s">
        <v>229</v>
      </c>
      <c r="B63" s="33">
        <v>15.18</v>
      </c>
      <c r="C63" s="33">
        <v>17.82</v>
      </c>
      <c r="D63" s="33">
        <v>26.78</v>
      </c>
      <c r="E63" s="33">
        <v>33.65</v>
      </c>
      <c r="F63" s="33">
        <v>38.05</v>
      </c>
      <c r="G63" s="33">
        <v>57.29</v>
      </c>
      <c r="H63" s="33">
        <v>52.64</v>
      </c>
      <c r="I63" s="33">
        <v>53.77</v>
      </c>
      <c r="J63" s="33">
        <v>58.13</v>
      </c>
      <c r="K63" s="38">
        <f t="shared" ref="K63:P63" si="7">K64-K53</f>
        <v>61.6123124052968</v>
      </c>
      <c r="L63" s="38">
        <f t="shared" si="7"/>
        <v>60.8646179922803</v>
      </c>
      <c r="M63" s="38">
        <f t="shared" si="7"/>
        <v>61.4888824016556</v>
      </c>
      <c r="N63" s="38">
        <f t="shared" si="7"/>
        <v>74.1784652276453</v>
      </c>
      <c r="O63" s="38">
        <f t="shared" si="7"/>
        <v>86.3052460327882</v>
      </c>
      <c r="P63" s="38">
        <f t="shared" si="7"/>
        <v>97.1536519117205</v>
      </c>
      <c r="U63" s="33"/>
    </row>
    <row r="64" spans="1:21">
      <c r="A64" s="48" t="s">
        <v>230</v>
      </c>
      <c r="B64" s="33">
        <v>21.22</v>
      </c>
      <c r="C64" s="33">
        <v>25.47</v>
      </c>
      <c r="D64" s="33">
        <v>36.66</v>
      </c>
      <c r="E64" s="33">
        <v>45.2</v>
      </c>
      <c r="F64" s="33">
        <v>55.34</v>
      </c>
      <c r="G64" s="33">
        <v>81.59</v>
      </c>
      <c r="H64" s="33">
        <v>76.32</v>
      </c>
      <c r="I64" s="33">
        <v>96.04</v>
      </c>
      <c r="J64" s="33">
        <v>101.6</v>
      </c>
      <c r="K64" s="38">
        <f t="shared" ref="K64:P64" si="8">K29</f>
        <v>109.892456016943</v>
      </c>
      <c r="L64" s="38">
        <f t="shared" si="8"/>
        <v>109.77697327463</v>
      </c>
      <c r="M64" s="38">
        <f t="shared" si="8"/>
        <v>112.073366516167</v>
      </c>
      <c r="N64" s="38">
        <f t="shared" si="8"/>
        <v>125.512716888483</v>
      </c>
      <c r="O64" s="38">
        <f t="shared" si="8"/>
        <v>140.819590962403</v>
      </c>
      <c r="P64" s="38">
        <f t="shared" si="8"/>
        <v>157.822104290076</v>
      </c>
      <c r="U64" s="33"/>
    </row>
    <row r="65" spans="1:21">
      <c r="A65" s="48"/>
      <c r="B65" s="32"/>
      <c r="C65" s="32"/>
      <c r="D65" s="32"/>
      <c r="E65" s="32"/>
      <c r="F65" s="32"/>
      <c r="G65" s="32"/>
      <c r="H65" s="32"/>
      <c r="I65" s="32"/>
      <c r="J65" s="32"/>
      <c r="U65" s="32"/>
    </row>
    <row r="66" spans="1:21">
      <c r="A66" s="48"/>
      <c r="B66" s="32"/>
      <c r="C66" s="32"/>
      <c r="D66" s="32"/>
      <c r="E66" s="32"/>
      <c r="F66" s="32"/>
      <c r="G66" s="32"/>
      <c r="H66" s="32"/>
      <c r="I66" s="32"/>
      <c r="J66" s="32"/>
      <c r="U66" s="32"/>
    </row>
    <row r="67" spans="1:21">
      <c r="A67" s="48"/>
      <c r="B67" s="32"/>
      <c r="C67" s="32"/>
      <c r="D67" s="32"/>
      <c r="E67" s="32"/>
      <c r="F67" s="32"/>
      <c r="G67" s="32"/>
      <c r="H67" s="32"/>
      <c r="I67" s="32"/>
      <c r="J67" s="32"/>
      <c r="U67" s="32"/>
    </row>
    <row r="68" spans="1:21">
      <c r="A68" s="48"/>
      <c r="B68" s="32"/>
      <c r="C68" s="32"/>
      <c r="D68" s="32"/>
      <c r="E68" s="32"/>
      <c r="F68" s="32"/>
      <c r="G68" s="32"/>
      <c r="H68" s="32"/>
      <c r="I68" s="32"/>
      <c r="J68" s="32"/>
      <c r="U68" s="32"/>
    </row>
    <row r="69" spans="1:10">
      <c r="A69" s="48"/>
      <c r="B69" s="32"/>
      <c r="C69" s="32"/>
      <c r="D69" s="32"/>
      <c r="E69" s="32"/>
      <c r="F69" s="32"/>
      <c r="G69" s="32"/>
      <c r="H69" s="32"/>
      <c r="I69" s="32"/>
      <c r="J69" s="32"/>
    </row>
    <row r="70" spans="1:10">
      <c r="A70" s="48"/>
      <c r="C70" s="32"/>
      <c r="D70" s="32"/>
      <c r="E70" s="32"/>
      <c r="F70" s="32"/>
      <c r="G70" s="32"/>
      <c r="H70" s="32"/>
      <c r="I70" s="32"/>
      <c r="J70" s="32"/>
    </row>
    <row r="71" spans="1:10">
      <c r="A71" s="48"/>
      <c r="B71" s="32"/>
      <c r="C71" s="32"/>
      <c r="D71" s="32"/>
      <c r="E71" s="32"/>
      <c r="F71" s="32"/>
      <c r="G71" s="32"/>
      <c r="H71" s="32"/>
      <c r="I71" s="32"/>
      <c r="J71" s="32"/>
    </row>
    <row r="72" spans="1:1">
      <c r="A72" s="48"/>
    </row>
    <row r="73" spans="1:1">
      <c r="A73" s="48"/>
    </row>
    <row r="74" spans="1:1">
      <c r="A74" s="48"/>
    </row>
    <row r="75" spans="1:21">
      <c r="A75" s="48"/>
      <c r="B75" s="32"/>
      <c r="C75" s="32"/>
      <c r="D75" s="32"/>
      <c r="E75" s="32"/>
      <c r="F75" s="32"/>
      <c r="G75" s="32"/>
      <c r="H75" s="32"/>
      <c r="I75" s="32"/>
      <c r="J75" s="32"/>
      <c r="U75" s="32"/>
    </row>
    <row r="76" spans="1:21">
      <c r="A76" s="48"/>
      <c r="B76" s="32"/>
      <c r="C76" s="32"/>
      <c r="D76" s="32"/>
      <c r="E76" s="32"/>
      <c r="F76" s="32"/>
      <c r="G76" s="32"/>
      <c r="H76" s="32"/>
      <c r="I76" s="32"/>
      <c r="J76" s="32"/>
      <c r="U76" s="32"/>
    </row>
    <row r="94" spans="1:1">
      <c r="A94" s="48" t="s">
        <v>123</v>
      </c>
    </row>
    <row r="95" spans="1:1">
      <c r="A95" s="54" t="s">
        <v>124</v>
      </c>
    </row>
  </sheetData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85"/>
  <sheetViews>
    <sheetView topLeftCell="A17" workbookViewId="0">
      <selection activeCell="J43" sqref="J43"/>
    </sheetView>
  </sheetViews>
  <sheetFormatPr defaultColWidth="9" defaultRowHeight="14.25"/>
  <cols>
    <col min="1" max="1" width="54.575" style="29"/>
    <col min="2" max="6" width="15.1416666666667" style="29" hidden="1" outlineLevel="1"/>
    <col min="7" max="7" width="15.1416666666667" style="29" collapsed="1"/>
    <col min="8" max="10" width="15.1416666666667" style="29"/>
    <col min="11" max="11" width="11.125" style="2" customWidth="1"/>
    <col min="12" max="12" width="11" style="2" customWidth="1"/>
    <col min="13" max="13" width="10.75" style="2" customWidth="1"/>
    <col min="14" max="14" width="10.25" style="2" customWidth="1"/>
    <col min="15" max="15" width="11.875" style="2" customWidth="1"/>
    <col min="16" max="16" width="11.875" style="30" customWidth="1"/>
    <col min="17" max="18" width="16.575" style="31"/>
    <col min="19" max="19" width="13" style="29"/>
    <col min="20" max="26" width="16.575" style="31"/>
  </cols>
  <sheetData>
    <row r="1" spans="2:26">
      <c r="B1" s="32">
        <v>2010</v>
      </c>
      <c r="C1" s="32">
        <v>2011</v>
      </c>
      <c r="D1" s="32">
        <v>2012</v>
      </c>
      <c r="E1" s="32">
        <v>2013</v>
      </c>
      <c r="F1" s="32">
        <v>2014</v>
      </c>
      <c r="G1" s="32">
        <v>2015</v>
      </c>
      <c r="H1" s="32">
        <v>2016</v>
      </c>
      <c r="I1" s="32">
        <v>2017</v>
      </c>
      <c r="J1" s="32">
        <v>2018</v>
      </c>
      <c r="K1" s="32">
        <v>2019</v>
      </c>
      <c r="L1" s="32">
        <v>2020</v>
      </c>
      <c r="M1" s="32">
        <v>2021</v>
      </c>
      <c r="N1" s="32">
        <v>2022</v>
      </c>
      <c r="O1" s="32">
        <v>2023</v>
      </c>
      <c r="P1" s="32">
        <v>2024</v>
      </c>
      <c r="Q1" s="44"/>
      <c r="R1" s="44"/>
      <c r="S1" s="32" t="s">
        <v>231</v>
      </c>
      <c r="T1" s="44"/>
      <c r="U1" s="44"/>
      <c r="V1" s="44"/>
      <c r="W1" s="44"/>
      <c r="X1" s="44"/>
      <c r="Y1" s="44"/>
      <c r="Z1" s="44"/>
    </row>
    <row r="2" spans="1:16">
      <c r="A2" s="32" t="s">
        <v>232</v>
      </c>
      <c r="B2" s="33">
        <v>2.5</v>
      </c>
      <c r="C2" s="33">
        <v>3.65</v>
      </c>
      <c r="D2" s="33">
        <v>6.28</v>
      </c>
      <c r="E2" s="33">
        <v>8.2</v>
      </c>
      <c r="F2" s="33">
        <v>9.08</v>
      </c>
      <c r="G2" s="33">
        <v>22.1</v>
      </c>
      <c r="H2" s="33">
        <v>2.16</v>
      </c>
      <c r="I2" s="33">
        <v>3.9</v>
      </c>
      <c r="J2" s="33">
        <v>5.4</v>
      </c>
      <c r="K2" s="37">
        <f>IS!K27</f>
        <v>6.115412072</v>
      </c>
      <c r="L2" s="37">
        <f>IS!L27</f>
        <v>6.69972084705</v>
      </c>
      <c r="M2" s="37">
        <f>IS!M27</f>
        <v>8.39132356183999</v>
      </c>
      <c r="N2" s="37">
        <f>IS!N27</f>
        <v>9.48806932983681</v>
      </c>
      <c r="O2" s="37">
        <f>IS!O27</f>
        <v>11.6534446330627</v>
      </c>
      <c r="P2" s="37">
        <f>IS!P27</f>
        <v>12.8387863455799</v>
      </c>
    </row>
    <row r="3" spans="1:16">
      <c r="A3" s="32" t="s">
        <v>233</v>
      </c>
      <c r="B3" s="33">
        <v>0.95</v>
      </c>
      <c r="C3" s="33">
        <v>0.08</v>
      </c>
      <c r="D3" s="33">
        <v>0.13</v>
      </c>
      <c r="E3" s="33">
        <v>0.09</v>
      </c>
      <c r="F3" s="33">
        <v>0.17</v>
      </c>
      <c r="G3" s="33">
        <v>0.27</v>
      </c>
      <c r="H3" s="33">
        <v>-0.1</v>
      </c>
      <c r="I3" s="33">
        <v>0.49</v>
      </c>
      <c r="J3" s="33">
        <v>0.6</v>
      </c>
      <c r="K3" s="32">
        <v>0.3</v>
      </c>
      <c r="L3" s="32">
        <f>K3</f>
        <v>0.3</v>
      </c>
      <c r="M3" s="32">
        <f>L3</f>
        <v>0.3</v>
      </c>
      <c r="N3" s="32">
        <f>M3</f>
        <v>0.3</v>
      </c>
      <c r="O3" s="32">
        <f>N3</f>
        <v>0.3</v>
      </c>
      <c r="P3" s="32">
        <f>O3</f>
        <v>0.3</v>
      </c>
    </row>
    <row r="4" spans="1:16">
      <c r="A4" s="32" t="s">
        <v>234</v>
      </c>
      <c r="B4" s="33">
        <v>0.36</v>
      </c>
      <c r="C4" s="33">
        <v>0.71</v>
      </c>
      <c r="D4" s="33">
        <v>0.44</v>
      </c>
      <c r="E4" s="33">
        <v>0.37</v>
      </c>
      <c r="F4" s="33">
        <v>0.38</v>
      </c>
      <c r="G4" s="33">
        <v>0.37</v>
      </c>
      <c r="H4" s="33">
        <v>0.38</v>
      </c>
      <c r="I4" s="33">
        <v>0.63</v>
      </c>
      <c r="J4" s="33">
        <v>0.92</v>
      </c>
      <c r="K4" s="37">
        <f>资本开支假设!G11</f>
        <v>1.289</v>
      </c>
      <c r="L4" s="37">
        <f>资本开支假设!H11</f>
        <v>1.1601</v>
      </c>
      <c r="M4" s="37">
        <f>资本开支假设!I11</f>
        <v>1.04409</v>
      </c>
      <c r="N4" s="37">
        <f>资本开支假设!J11</f>
        <v>1.024681</v>
      </c>
      <c r="O4" s="37">
        <f>资本开支假设!K11</f>
        <v>1.0497129</v>
      </c>
      <c r="P4" s="37">
        <f>资本开支假设!L11</f>
        <v>1.07224161</v>
      </c>
    </row>
    <row r="5" spans="1:16">
      <c r="A5" s="32" t="s">
        <v>235</v>
      </c>
      <c r="B5" s="33">
        <v>0.02</v>
      </c>
      <c r="C5" s="33">
        <v>0.03</v>
      </c>
      <c r="D5" s="33">
        <v>0.05</v>
      </c>
      <c r="E5" s="33">
        <v>0.06</v>
      </c>
      <c r="F5" s="33">
        <v>0.08</v>
      </c>
      <c r="G5" s="33">
        <v>0.11</v>
      </c>
      <c r="H5" s="33">
        <v>0.17</v>
      </c>
      <c r="I5" s="33">
        <v>0.3</v>
      </c>
      <c r="J5" s="33">
        <v>0.37</v>
      </c>
      <c r="K5" s="38">
        <f>资本开支假设!G24</f>
        <v>0.3672</v>
      </c>
      <c r="L5" s="38">
        <f>资本开支假设!H24</f>
        <v>0.350676</v>
      </c>
      <c r="M5" s="38">
        <f>资本开支假设!I24</f>
        <v>0.34839558</v>
      </c>
      <c r="N5" s="38">
        <f>资本开支假设!J24</f>
        <v>0.3462177789</v>
      </c>
      <c r="O5" s="38">
        <f>资本开支假设!K24</f>
        <v>0.3531379788495</v>
      </c>
      <c r="P5" s="38">
        <f>资本开支假设!L24</f>
        <v>0.359746769801272</v>
      </c>
    </row>
    <row r="6" spans="1:16">
      <c r="A6" s="32" t="s">
        <v>236</v>
      </c>
      <c r="B6" s="33">
        <v>0.51</v>
      </c>
      <c r="C6" s="33">
        <v>0.45</v>
      </c>
      <c r="D6" s="33">
        <v>0.54</v>
      </c>
      <c r="E6" s="33">
        <v>0.58</v>
      </c>
      <c r="F6" s="33">
        <v>0.54</v>
      </c>
      <c r="G6" s="33">
        <v>0.61</v>
      </c>
      <c r="H6" s="33">
        <v>0.9</v>
      </c>
      <c r="I6" s="33">
        <v>0.92</v>
      </c>
      <c r="J6" s="33">
        <v>0.67</v>
      </c>
      <c r="K6" s="38">
        <f>BS!K25*0.9</f>
        <v>0.992611426415094</v>
      </c>
      <c r="L6" s="38">
        <f>BS!L25*0.9</f>
        <v>1.07921580333333</v>
      </c>
      <c r="M6" s="38">
        <f>BS!M25*0.9</f>
        <v>1.20216797276667</v>
      </c>
      <c r="N6" s="38">
        <f>BS!N25*0.9</f>
        <v>1.325555254952</v>
      </c>
      <c r="O6" s="38">
        <f>BS!O25*0.9</f>
        <v>1.42387900108608</v>
      </c>
      <c r="P6" s="38">
        <f>BS!P25*0.9</f>
        <v>1.58485968070441</v>
      </c>
    </row>
    <row r="7" spans="1:16">
      <c r="A7" s="32" t="s">
        <v>237</v>
      </c>
      <c r="B7" s="33">
        <v>-0.02</v>
      </c>
      <c r="C7" s="33">
        <v>0.01</v>
      </c>
      <c r="D7" s="33">
        <v>0</v>
      </c>
      <c r="E7" s="33">
        <v>0.01</v>
      </c>
      <c r="F7" s="33">
        <v>0</v>
      </c>
      <c r="G7" s="33">
        <v>-0.07</v>
      </c>
      <c r="H7" s="33">
        <v>0.01</v>
      </c>
      <c r="I7" s="33">
        <v>0.05</v>
      </c>
      <c r="J7" s="33">
        <v>0.38</v>
      </c>
      <c r="K7" s="35">
        <f>IS!K18</f>
        <v>0.3</v>
      </c>
      <c r="L7" s="35">
        <f>IS!L18</f>
        <v>0.3</v>
      </c>
      <c r="M7" s="35">
        <f>IS!M18</f>
        <v>0.3</v>
      </c>
      <c r="N7" s="35">
        <f>IS!N18</f>
        <v>0.3</v>
      </c>
      <c r="O7" s="35">
        <f>IS!O18</f>
        <v>0.3</v>
      </c>
      <c r="P7" s="35">
        <f>IS!P18</f>
        <v>0.3</v>
      </c>
    </row>
    <row r="8" spans="1:15">
      <c r="A8" s="32" t="s">
        <v>238</v>
      </c>
      <c r="I8" s="33">
        <v>0.02</v>
      </c>
      <c r="J8" s="33">
        <v>0.03</v>
      </c>
      <c r="K8" s="35"/>
      <c r="L8" s="35"/>
      <c r="M8" s="35"/>
      <c r="N8" s="35"/>
      <c r="O8" s="35"/>
    </row>
    <row r="9" spans="1:16">
      <c r="A9" s="32" t="s">
        <v>239</v>
      </c>
      <c r="B9" s="33">
        <v>0.01</v>
      </c>
      <c r="C9" s="33">
        <v>0.01</v>
      </c>
      <c r="D9" s="33">
        <v>0.01</v>
      </c>
      <c r="H9" s="33">
        <v>-0.2</v>
      </c>
      <c r="I9" s="33">
        <v>0.51</v>
      </c>
      <c r="J9" s="33">
        <v>0.62</v>
      </c>
      <c r="K9" s="38">
        <f>IS!K11</f>
        <v>0.4649298</v>
      </c>
      <c r="L9" s="38">
        <f>IS!L11</f>
        <v>0.429457175</v>
      </c>
      <c r="M9" s="38">
        <f>IS!M11</f>
        <v>0</v>
      </c>
      <c r="N9" s="38">
        <f>IS!N11</f>
        <v>0</v>
      </c>
      <c r="O9" s="38">
        <f>IS!O11</f>
        <v>0</v>
      </c>
      <c r="P9" s="38">
        <f>IS!P11</f>
        <v>0</v>
      </c>
    </row>
    <row r="10" spans="1:16">
      <c r="A10" s="32" t="s">
        <v>240</v>
      </c>
      <c r="B10" s="33">
        <v>-0.89</v>
      </c>
      <c r="C10" s="33">
        <v>-0.89</v>
      </c>
      <c r="D10" s="33">
        <v>-1.68</v>
      </c>
      <c r="E10" s="33">
        <v>-1.62</v>
      </c>
      <c r="F10" s="33">
        <v>-2.26</v>
      </c>
      <c r="G10" s="33">
        <v>-17.87</v>
      </c>
      <c r="H10" s="33">
        <v>-0.21</v>
      </c>
      <c r="I10" s="33">
        <v>-1.46</v>
      </c>
      <c r="J10" s="33">
        <v>-1.3</v>
      </c>
      <c r="K10" s="35">
        <v>-0.82</v>
      </c>
      <c r="L10" s="35">
        <v>0</v>
      </c>
      <c r="M10" s="35">
        <v>0</v>
      </c>
      <c r="N10" s="35">
        <v>0</v>
      </c>
      <c r="O10" s="35">
        <v>0</v>
      </c>
      <c r="P10" s="30" t="s">
        <v>241</v>
      </c>
    </row>
    <row r="11" spans="1:16">
      <c r="A11" s="32" t="s">
        <v>242</v>
      </c>
      <c r="B11" s="33">
        <v>-0.18</v>
      </c>
      <c r="C11" s="33">
        <v>0.05</v>
      </c>
      <c r="D11" s="33">
        <v>-0.19</v>
      </c>
      <c r="E11" s="33">
        <v>-0.42</v>
      </c>
      <c r="F11" s="33">
        <v>0.29</v>
      </c>
      <c r="G11" s="33">
        <v>-0.14</v>
      </c>
      <c r="H11" s="33">
        <v>-0.37</v>
      </c>
      <c r="I11" s="33">
        <v>-0.55</v>
      </c>
      <c r="J11" s="33">
        <v>0.09</v>
      </c>
      <c r="K11" s="38">
        <f>BS!J26-BS!K26</f>
        <v>-0.132233958333334</v>
      </c>
      <c r="L11" s="38">
        <f>BS!K26-BS!L26</f>
        <v>-0.164040734375</v>
      </c>
      <c r="M11" s="38">
        <f>BS!L26-BS!M26</f>
        <v>-0.192112764739584</v>
      </c>
      <c r="N11" s="38">
        <f>BS!M26-BS!N26</f>
        <v>-0.192792628414583</v>
      </c>
      <c r="O11" s="38">
        <f>BS!N26-BS!O26</f>
        <v>-0.153630853334501</v>
      </c>
      <c r="P11" s="38">
        <f>BS!O26-BS!P26</f>
        <v>-0.25153231190364</v>
      </c>
    </row>
    <row r="12" spans="1:16">
      <c r="A12" s="32" t="s">
        <v>243</v>
      </c>
      <c r="D12" s="33">
        <v>0.08</v>
      </c>
      <c r="F12" s="33">
        <v>0.46</v>
      </c>
      <c r="G12" s="33">
        <v>-0.74</v>
      </c>
      <c r="H12" s="33">
        <v>0.01</v>
      </c>
      <c r="I12" s="33">
        <v>-0.03</v>
      </c>
      <c r="J12" s="33">
        <v>0.28</v>
      </c>
      <c r="K12" s="38">
        <f>BS!K50-BS!J50</f>
        <v>0.202477481481481</v>
      </c>
      <c r="L12" s="38">
        <f>BS!L50-BS!K50</f>
        <v>0.116651188888889</v>
      </c>
      <c r="M12" s="38">
        <f>BS!M50-BS!L50</f>
        <v>0.136613521592593</v>
      </c>
      <c r="N12" s="38">
        <f>BS!N50-BS!M50</f>
        <v>0.137096980205926</v>
      </c>
      <c r="O12" s="38">
        <f>BS!O50-BS!N50</f>
        <v>0.109248606815645</v>
      </c>
      <c r="P12" s="38">
        <f>BS!P50-BS!O50</f>
        <v>0.178867421798144</v>
      </c>
    </row>
    <row r="13" spans="1:16">
      <c r="A13" s="32" t="s">
        <v>244</v>
      </c>
      <c r="B13" s="33">
        <v>-0.87</v>
      </c>
      <c r="C13" s="33">
        <v>-0.8</v>
      </c>
      <c r="D13" s="33">
        <v>0.09</v>
      </c>
      <c r="E13" s="33">
        <v>-0.45</v>
      </c>
      <c r="F13" s="33">
        <v>-0.98</v>
      </c>
      <c r="G13" s="33">
        <v>-1.59</v>
      </c>
      <c r="H13" s="33">
        <v>0.81</v>
      </c>
      <c r="I13" s="33">
        <v>0.15</v>
      </c>
      <c r="J13" s="33">
        <v>-1.67</v>
      </c>
      <c r="K13" s="38">
        <f>BS!J12-BS!K12</f>
        <v>-0.474797619047617</v>
      </c>
      <c r="L13" s="38">
        <f>BS!K12-BS!L12</f>
        <v>-1.00037321428572</v>
      </c>
      <c r="M13" s="38">
        <f>BS!L12-BS!M12</f>
        <v>-1.15015135119048</v>
      </c>
      <c r="N13" s="38">
        <f>BS!M12-BS!N12</f>
        <v>-1.26333698833334</v>
      </c>
      <c r="O13" s="38">
        <f>BS!N12-BS!O12</f>
        <v>-1.40875461074286</v>
      </c>
      <c r="P13" s="38">
        <f>BS!O12-BS!P12</f>
        <v>-1.57180153646057</v>
      </c>
    </row>
    <row r="14" spans="1:16">
      <c r="A14" s="32" t="s">
        <v>245</v>
      </c>
      <c r="B14" s="33">
        <v>-0.34</v>
      </c>
      <c r="C14" s="33">
        <v>-1.61</v>
      </c>
      <c r="D14" s="33">
        <v>-0.04</v>
      </c>
      <c r="E14" s="33">
        <v>0.17</v>
      </c>
      <c r="F14" s="33">
        <v>-0.85</v>
      </c>
      <c r="G14" s="33">
        <v>-2.99</v>
      </c>
      <c r="H14" s="33">
        <v>-0.04</v>
      </c>
      <c r="I14" s="33">
        <v>0.05</v>
      </c>
      <c r="J14" s="33">
        <v>-1</v>
      </c>
      <c r="K14" s="38">
        <f>BS!J7-BS!K7</f>
        <v>-0.462263888888888</v>
      </c>
      <c r="L14" s="38">
        <f>BS!K7-BS!L7</f>
        <v>-1.16710208333333</v>
      </c>
      <c r="M14" s="38">
        <f>BS!L7-BS!M7</f>
        <v>-1.34184324305556</v>
      </c>
      <c r="N14" s="38">
        <f>BS!M7-BS!N7</f>
        <v>-1.47389315305556</v>
      </c>
      <c r="O14" s="38">
        <f>BS!N7-BS!O7</f>
        <v>-1.64354704586667</v>
      </c>
      <c r="P14" s="38">
        <f>BS!O7-BS!P7</f>
        <v>-1.833768459204</v>
      </c>
    </row>
    <row r="15" spans="1:16">
      <c r="A15" s="32" t="s">
        <v>246</v>
      </c>
      <c r="B15" s="33">
        <v>1.08</v>
      </c>
      <c r="C15" s="33">
        <v>1.71</v>
      </c>
      <c r="D15" s="33">
        <v>1.66</v>
      </c>
      <c r="E15" s="33">
        <v>1.44</v>
      </c>
      <c r="F15" s="33">
        <v>3.67</v>
      </c>
      <c r="G15" s="33">
        <v>4.8</v>
      </c>
      <c r="H15" s="33">
        <v>-2.83</v>
      </c>
      <c r="I15" s="33">
        <v>3.25</v>
      </c>
      <c r="J15" s="33">
        <v>3.07</v>
      </c>
      <c r="K15" s="38">
        <f>BS!K32-BS!J32</f>
        <v>0.496844444444445</v>
      </c>
      <c r="L15" s="38">
        <f>BS!L32-BS!K32</f>
        <v>0.473576726984128</v>
      </c>
      <c r="M15" s="38">
        <f>BS!M32-BS!L32</f>
        <v>1.053875738</v>
      </c>
      <c r="N15" s="38">
        <f>BS!N32-BS!M32</f>
        <v>1.05760527587429</v>
      </c>
      <c r="O15" s="38">
        <f>BS!O32-BS!N32</f>
        <v>0.842774966863544</v>
      </c>
      <c r="P15" s="38">
        <f>BS!P32-BS!O32</f>
        <v>1.37983439672854</v>
      </c>
    </row>
    <row r="16" spans="1:16">
      <c r="A16" s="32" t="s">
        <v>247</v>
      </c>
      <c r="B16" s="33">
        <v>0.16</v>
      </c>
      <c r="C16" s="33">
        <v>0.07</v>
      </c>
      <c r="D16" s="33">
        <v>0.95</v>
      </c>
      <c r="F16" s="33">
        <v>0.72</v>
      </c>
      <c r="G16" s="33">
        <v>0.17</v>
      </c>
      <c r="H16" s="33">
        <v>-0.15</v>
      </c>
      <c r="I16" s="33">
        <v>0.38</v>
      </c>
      <c r="J16" s="33">
        <v>0.47</v>
      </c>
      <c r="K16" s="38">
        <f t="shared" ref="K16:P16" si="0">J16*1.1</f>
        <v>0.517</v>
      </c>
      <c r="L16" s="38">
        <f t="shared" si="0"/>
        <v>0.5687</v>
      </c>
      <c r="M16" s="38">
        <f t="shared" si="0"/>
        <v>0.62557</v>
      </c>
      <c r="N16" s="38">
        <f t="shared" si="0"/>
        <v>0.688127</v>
      </c>
      <c r="O16" s="38">
        <f t="shared" si="0"/>
        <v>0.7569397</v>
      </c>
      <c r="P16" s="38">
        <f t="shared" si="0"/>
        <v>0.83263367</v>
      </c>
    </row>
    <row r="17" spans="1:16">
      <c r="A17" s="34" t="s">
        <v>248</v>
      </c>
      <c r="B17" s="33">
        <v>3.29</v>
      </c>
      <c r="C17" s="33">
        <v>3.47</v>
      </c>
      <c r="D17" s="33">
        <v>8.33</v>
      </c>
      <c r="E17" s="33">
        <v>10.29</v>
      </c>
      <c r="F17" s="33">
        <v>11.3</v>
      </c>
      <c r="G17" s="33">
        <v>5.03</v>
      </c>
      <c r="H17" s="33">
        <v>0.54</v>
      </c>
      <c r="I17" s="33">
        <v>8.62</v>
      </c>
      <c r="J17" s="33">
        <v>8.95</v>
      </c>
      <c r="K17" s="38">
        <f t="shared" ref="K17:P17" si="1">SUM(K2:K16)</f>
        <v>9.15617975807118</v>
      </c>
      <c r="L17" s="38">
        <f t="shared" si="1"/>
        <v>9.1465817092623</v>
      </c>
      <c r="M17" s="38">
        <f t="shared" si="1"/>
        <v>10.7179290152136</v>
      </c>
      <c r="N17" s="38">
        <f t="shared" si="1"/>
        <v>11.7373298499655</v>
      </c>
      <c r="O17" s="38">
        <f t="shared" si="1"/>
        <v>13.5832052767334</v>
      </c>
      <c r="P17" s="38">
        <f t="shared" si="1"/>
        <v>15.1898675870441</v>
      </c>
    </row>
    <row r="18" spans="1:26">
      <c r="A18" s="32" t="s">
        <v>249</v>
      </c>
      <c r="C18" s="33">
        <v>1</v>
      </c>
      <c r="D18" s="33">
        <v>0</v>
      </c>
      <c r="E18" s="33">
        <v>2.82</v>
      </c>
      <c r="F18" s="33">
        <v>8</v>
      </c>
      <c r="G18" s="33">
        <v>24.82</v>
      </c>
      <c r="H18" s="33">
        <v>27.52</v>
      </c>
      <c r="I18" s="33">
        <v>69.48</v>
      </c>
      <c r="J18" s="33">
        <v>38.58</v>
      </c>
      <c r="K18" s="32">
        <v>37</v>
      </c>
      <c r="L18" s="32">
        <v>4</v>
      </c>
      <c r="M18" s="32">
        <v>3</v>
      </c>
      <c r="N18" s="32">
        <v>4</v>
      </c>
      <c r="O18" s="32">
        <v>5</v>
      </c>
      <c r="P18" s="39">
        <v>5</v>
      </c>
      <c r="Q18" s="45"/>
      <c r="R18" s="45"/>
      <c r="S18" s="33">
        <v>27.33</v>
      </c>
      <c r="T18" s="45"/>
      <c r="U18" s="45"/>
      <c r="V18" s="45"/>
      <c r="W18" s="45"/>
      <c r="X18" s="45"/>
      <c r="Y18" s="45"/>
      <c r="Z18" s="45"/>
    </row>
    <row r="19" spans="1:26">
      <c r="A19" s="32" t="s">
        <v>250</v>
      </c>
      <c r="B19" s="33">
        <v>0.65</v>
      </c>
      <c r="C19" s="33">
        <v>1</v>
      </c>
      <c r="D19" s="33">
        <v>4.94</v>
      </c>
      <c r="E19" s="33">
        <v>4.74</v>
      </c>
      <c r="F19" s="33">
        <v>6.4</v>
      </c>
      <c r="G19" s="35">
        <v>-41.1</v>
      </c>
      <c r="H19" s="35">
        <v>-33.31</v>
      </c>
      <c r="I19" s="35">
        <v>-60.08</v>
      </c>
      <c r="J19" s="35">
        <v>-43.7</v>
      </c>
      <c r="K19" s="32">
        <v>-40</v>
      </c>
      <c r="L19" s="32"/>
      <c r="M19" s="32"/>
      <c r="N19" s="32"/>
      <c r="O19" s="32"/>
      <c r="P19" s="39"/>
      <c r="Q19" s="45"/>
      <c r="R19" s="45"/>
      <c r="S19" s="33">
        <v>30</v>
      </c>
      <c r="T19" s="45"/>
      <c r="U19" s="45"/>
      <c r="V19" s="45"/>
      <c r="W19" s="45"/>
      <c r="X19" s="45"/>
      <c r="Y19" s="45"/>
      <c r="Z19" s="45"/>
    </row>
    <row r="20" spans="1:26">
      <c r="A20" s="32" t="s">
        <v>251</v>
      </c>
      <c r="B20" s="33">
        <v>0.15</v>
      </c>
      <c r="C20" s="33">
        <v>0.26</v>
      </c>
      <c r="D20" s="33">
        <v>0.18</v>
      </c>
      <c r="E20" s="33">
        <v>0.35</v>
      </c>
      <c r="F20" s="33">
        <v>0.75</v>
      </c>
      <c r="G20" s="33">
        <v>0.41</v>
      </c>
      <c r="H20" s="33">
        <v>0.55</v>
      </c>
      <c r="I20" s="33">
        <v>1.21</v>
      </c>
      <c r="J20" s="33">
        <v>0.61</v>
      </c>
      <c r="K20" s="32">
        <f>K18*0.017</f>
        <v>0.629</v>
      </c>
      <c r="L20" s="32">
        <f>K20</f>
        <v>0.629</v>
      </c>
      <c r="M20" s="32">
        <f>L20</f>
        <v>0.629</v>
      </c>
      <c r="N20" s="32">
        <f>M20</f>
        <v>0.629</v>
      </c>
      <c r="O20" s="32">
        <f>N20</f>
        <v>0.629</v>
      </c>
      <c r="P20" s="32">
        <f>O20</f>
        <v>0.629</v>
      </c>
      <c r="Q20" s="45"/>
      <c r="R20" s="45"/>
      <c r="S20" s="33">
        <v>0.35</v>
      </c>
      <c r="T20" s="45"/>
      <c r="U20" s="45"/>
      <c r="V20" s="45"/>
      <c r="W20" s="45"/>
      <c r="X20" s="45"/>
      <c r="Y20" s="45"/>
      <c r="Z20" s="45"/>
    </row>
    <row r="21" spans="1:26">
      <c r="A21" s="32" t="s">
        <v>252</v>
      </c>
      <c r="B21" s="33">
        <v>0.02</v>
      </c>
      <c r="C21" s="33">
        <v>0.01</v>
      </c>
      <c r="D21" s="33">
        <v>0.02</v>
      </c>
      <c r="E21" s="33">
        <v>0.01</v>
      </c>
      <c r="F21" s="33">
        <v>0.02</v>
      </c>
      <c r="G21" s="33">
        <v>0.14</v>
      </c>
      <c r="H21" s="33">
        <v>0</v>
      </c>
      <c r="I21" s="33">
        <v>0.01</v>
      </c>
      <c r="J21" s="33">
        <v>0.01</v>
      </c>
      <c r="K21" s="32"/>
      <c r="L21" s="32"/>
      <c r="M21" s="32"/>
      <c r="N21" s="32"/>
      <c r="O21" s="32"/>
      <c r="P21" s="40"/>
      <c r="Q21" s="45"/>
      <c r="R21" s="45"/>
      <c r="S21" s="33">
        <v>1.55</v>
      </c>
      <c r="T21" s="45"/>
      <c r="U21" s="45"/>
      <c r="V21" s="45"/>
      <c r="W21" s="45"/>
      <c r="X21" s="45"/>
      <c r="Y21" s="45"/>
      <c r="Z21" s="45"/>
    </row>
    <row r="22" spans="1:23">
      <c r="A22" s="32" t="s">
        <v>253</v>
      </c>
      <c r="B22" s="33">
        <v>0</v>
      </c>
      <c r="D22" s="33">
        <v>-0.06</v>
      </c>
      <c r="F22" s="33">
        <v>0.07</v>
      </c>
      <c r="G22" s="33">
        <v>19.17</v>
      </c>
      <c r="H22" s="33">
        <v>3.45</v>
      </c>
      <c r="I22" s="33">
        <v>0.5</v>
      </c>
      <c r="J22" s="33">
        <v>0.03</v>
      </c>
      <c r="K22" s="32"/>
      <c r="L22" s="32"/>
      <c r="M22" s="32"/>
      <c r="N22" s="32"/>
      <c r="O22" s="32"/>
      <c r="P22" s="40"/>
      <c r="W22" s="45"/>
    </row>
    <row r="23" spans="1:18">
      <c r="A23" s="32" t="s">
        <v>254</v>
      </c>
      <c r="G23" s="33">
        <v>3.68</v>
      </c>
      <c r="H23" s="33">
        <v>1.33</v>
      </c>
      <c r="I23" s="33">
        <v>0.31</v>
      </c>
      <c r="K23" s="32"/>
      <c r="L23" s="32"/>
      <c r="M23" s="32"/>
      <c r="N23" s="32"/>
      <c r="O23" s="32"/>
      <c r="P23" s="39"/>
      <c r="Q23" s="45"/>
      <c r="R23" s="45"/>
    </row>
    <row r="24" spans="1:26">
      <c r="A24" s="32" t="s">
        <v>255</v>
      </c>
      <c r="B24" s="33">
        <v>0.96</v>
      </c>
      <c r="C24" s="33">
        <v>0.91</v>
      </c>
      <c r="D24" s="33">
        <v>1.35</v>
      </c>
      <c r="E24" s="33">
        <v>1.58</v>
      </c>
      <c r="F24" s="33">
        <v>0.99</v>
      </c>
      <c r="G24" s="35">
        <v>-4.94</v>
      </c>
      <c r="H24" s="35">
        <v>-4.81</v>
      </c>
      <c r="I24" s="35">
        <v>-5.25</v>
      </c>
      <c r="J24" s="35">
        <v>-3.83</v>
      </c>
      <c r="K24" s="37">
        <f>资本开支假设!G7*-1</f>
        <v>-1.77</v>
      </c>
      <c r="L24" s="37">
        <f>资本开支假设!H7*-1</f>
        <v>-0.6</v>
      </c>
      <c r="M24" s="37">
        <f>资本开支假设!I7*-1</f>
        <v>-0.9</v>
      </c>
      <c r="N24" s="37">
        <f>资本开支假设!J7*-1</f>
        <v>-2.75</v>
      </c>
      <c r="O24" s="37">
        <f>资本开支假设!K7*-1</f>
        <v>-3.875</v>
      </c>
      <c r="P24" s="37">
        <f>资本开支假设!L7*-1</f>
        <v>-3.875</v>
      </c>
      <c r="Q24" s="45"/>
      <c r="R24" s="45"/>
      <c r="S24" s="33">
        <v>1.41</v>
      </c>
      <c r="T24" s="45"/>
      <c r="U24" s="45"/>
      <c r="V24" s="45"/>
      <c r="W24" s="45"/>
      <c r="X24" s="45"/>
      <c r="Y24" s="45"/>
      <c r="Z24" s="45"/>
    </row>
    <row r="25" spans="1:23">
      <c r="A25" s="32" t="s">
        <v>256</v>
      </c>
      <c r="C25" s="33">
        <v>0.67</v>
      </c>
      <c r="G25" s="35">
        <v>0</v>
      </c>
      <c r="H25" s="35">
        <v>0</v>
      </c>
      <c r="I25" s="35">
        <v>-0.86</v>
      </c>
      <c r="J25" s="35">
        <v>-0.05</v>
      </c>
      <c r="K25" s="32"/>
      <c r="L25" s="32"/>
      <c r="M25" s="32"/>
      <c r="N25" s="32"/>
      <c r="O25" s="32"/>
      <c r="P25" s="40"/>
      <c r="W25" s="45"/>
    </row>
    <row r="26" spans="1:23">
      <c r="A26" s="32" t="s">
        <v>257</v>
      </c>
      <c r="G26" s="35">
        <v>-0.21</v>
      </c>
      <c r="H26" s="35">
        <v>-0.47</v>
      </c>
      <c r="I26" s="35">
        <v>0</v>
      </c>
      <c r="J26" s="35">
        <v>-0.07</v>
      </c>
      <c r="K26" s="32"/>
      <c r="L26" s="32"/>
      <c r="M26" s="32"/>
      <c r="N26" s="32"/>
      <c r="O26" s="32"/>
      <c r="P26" s="40"/>
      <c r="W26" s="45"/>
    </row>
    <row r="27" spans="1:26">
      <c r="A27" s="34" t="s">
        <v>258</v>
      </c>
      <c r="B27" s="33">
        <v>-1.44</v>
      </c>
      <c r="C27" s="33">
        <v>-1.31</v>
      </c>
      <c r="D27" s="33">
        <v>-6.14</v>
      </c>
      <c r="E27" s="33">
        <v>-3.13</v>
      </c>
      <c r="F27" s="33">
        <v>1.44</v>
      </c>
      <c r="G27" s="33">
        <v>1.97</v>
      </c>
      <c r="H27" s="33">
        <v>-5.74</v>
      </c>
      <c r="I27" s="33">
        <v>5.32</v>
      </c>
      <c r="J27" s="33">
        <v>-8.42</v>
      </c>
      <c r="K27" s="32">
        <f t="shared" ref="K27:P27" si="2">SUM(K18:K26)</f>
        <v>-4.141</v>
      </c>
      <c r="L27" s="32">
        <f t="shared" si="2"/>
        <v>4.029</v>
      </c>
      <c r="M27" s="32">
        <f t="shared" si="2"/>
        <v>2.729</v>
      </c>
      <c r="N27" s="32">
        <f t="shared" si="2"/>
        <v>1.879</v>
      </c>
      <c r="O27" s="32">
        <f t="shared" si="2"/>
        <v>1.754</v>
      </c>
      <c r="P27" s="32">
        <f t="shared" si="2"/>
        <v>1.754</v>
      </c>
      <c r="Q27" s="45"/>
      <c r="R27" s="45"/>
      <c r="S27" s="33">
        <v>-2.18</v>
      </c>
      <c r="T27" s="45"/>
      <c r="U27" s="45"/>
      <c r="V27" s="45"/>
      <c r="W27" s="45"/>
      <c r="X27" s="45"/>
      <c r="Y27" s="45"/>
      <c r="Z27" s="45"/>
    </row>
    <row r="28" spans="1:1">
      <c r="A28" s="32" t="s">
        <v>259</v>
      </c>
    </row>
    <row r="29" spans="1:7">
      <c r="A29" s="32" t="s">
        <v>260</v>
      </c>
      <c r="B29" s="33">
        <v>0.03</v>
      </c>
      <c r="C29" s="33">
        <v>0.03</v>
      </c>
      <c r="D29" s="33">
        <v>4.16</v>
      </c>
      <c r="G29" s="33">
        <v>0.32</v>
      </c>
    </row>
    <row r="30" spans="1:3">
      <c r="A30" s="32" t="s">
        <v>261</v>
      </c>
      <c r="B30" s="33">
        <v>0.03</v>
      </c>
      <c r="C30" s="33">
        <v>0.03</v>
      </c>
    </row>
    <row r="31" spans="1:23">
      <c r="A31" s="32" t="s">
        <v>262</v>
      </c>
      <c r="B31" s="33">
        <v>0.12</v>
      </c>
      <c r="C31" s="33">
        <v>0.1</v>
      </c>
      <c r="I31" s="33">
        <v>0.74</v>
      </c>
      <c r="J31" s="33">
        <v>0</v>
      </c>
      <c r="W31" s="45"/>
    </row>
    <row r="32" spans="1:26">
      <c r="A32" s="32" t="s">
        <v>263</v>
      </c>
      <c r="S32" s="33">
        <v>0.35</v>
      </c>
      <c r="Y32" s="45"/>
      <c r="Z32" s="45"/>
    </row>
    <row r="33" spans="1:26">
      <c r="A33" s="32" t="s">
        <v>264</v>
      </c>
      <c r="B33" s="33">
        <v>0.1</v>
      </c>
      <c r="C33" s="33">
        <v>0.14</v>
      </c>
      <c r="G33" s="32">
        <v>0</v>
      </c>
      <c r="H33" s="32">
        <v>0</v>
      </c>
      <c r="I33" s="32">
        <v>-0.86</v>
      </c>
      <c r="J33" s="32">
        <v>-0.19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S33" s="33">
        <v>0</v>
      </c>
      <c r="T33" s="45"/>
      <c r="U33" s="45"/>
      <c r="V33" s="45"/>
      <c r="W33" s="45"/>
      <c r="Z33" s="45"/>
    </row>
    <row r="34" spans="1:26">
      <c r="A34" s="32" t="s">
        <v>265</v>
      </c>
      <c r="B34" s="33">
        <v>1.2</v>
      </c>
      <c r="C34" s="33">
        <v>1.12</v>
      </c>
      <c r="D34" s="33">
        <v>1.78</v>
      </c>
      <c r="E34" s="33">
        <v>3.1</v>
      </c>
      <c r="F34" s="33">
        <v>3.66</v>
      </c>
      <c r="G34" s="32">
        <v>-4.23</v>
      </c>
      <c r="H34" s="32">
        <v>-6.64</v>
      </c>
      <c r="I34" s="32">
        <v>-1.28</v>
      </c>
      <c r="J34" s="32">
        <v>-1.77</v>
      </c>
      <c r="K34" s="37">
        <f>(IS!K45)*-1</f>
        <v>-2.005855159616</v>
      </c>
      <c r="L34" s="37">
        <f>(IS!L45)*-1</f>
        <v>-2.1975084378324</v>
      </c>
      <c r="M34" s="37">
        <f>(IS!M45)*-1</f>
        <v>-2.75235412828352</v>
      </c>
      <c r="N34" s="37">
        <f>(IS!N45)*-1</f>
        <v>-3.11208674018647</v>
      </c>
      <c r="O34" s="37">
        <f>(IS!O45)*-1</f>
        <v>-3.82232983964455</v>
      </c>
      <c r="P34" s="37">
        <f>(IS!P45)*-1</f>
        <v>-4.21112192135022</v>
      </c>
      <c r="Q34" s="45"/>
      <c r="R34" s="45"/>
      <c r="S34" s="33">
        <v>2.07</v>
      </c>
      <c r="T34" s="45"/>
      <c r="U34" s="45"/>
      <c r="V34" s="45"/>
      <c r="W34" s="45"/>
      <c r="X34" s="45"/>
      <c r="Y34" s="45"/>
      <c r="Z34" s="45"/>
    </row>
    <row r="35" spans="1:16">
      <c r="A35" s="32" t="s">
        <v>266</v>
      </c>
      <c r="B35" s="33">
        <v>0.04</v>
      </c>
      <c r="C35" s="33">
        <v>0.05</v>
      </c>
      <c r="D35" s="33">
        <v>0.1</v>
      </c>
      <c r="E35" s="33">
        <v>0.01</v>
      </c>
      <c r="F35" s="33">
        <v>0.21</v>
      </c>
      <c r="G35" s="32">
        <v>0</v>
      </c>
      <c r="H35" s="32">
        <v>0</v>
      </c>
      <c r="I35" s="32">
        <v>0</v>
      </c>
      <c r="J35" s="32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</row>
    <row r="36" spans="1:26">
      <c r="A36" s="32" t="s">
        <v>267</v>
      </c>
      <c r="B36" s="33">
        <v>0.01</v>
      </c>
      <c r="C36" s="33">
        <v>0</v>
      </c>
      <c r="D36" s="33">
        <v>0</v>
      </c>
      <c r="E36" s="33">
        <v>0.01</v>
      </c>
      <c r="F36" s="33">
        <v>0.08</v>
      </c>
      <c r="G36" s="32">
        <v>-0.07</v>
      </c>
      <c r="H36" s="32">
        <v>-0.12</v>
      </c>
      <c r="I36" s="32">
        <v>-19.63</v>
      </c>
      <c r="J36" s="32">
        <v>-0.25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S36" s="33">
        <v>0</v>
      </c>
      <c r="T36" s="45"/>
      <c r="U36" s="45"/>
      <c r="V36" s="45"/>
      <c r="W36" s="45"/>
      <c r="Z36" s="45"/>
    </row>
    <row r="37" spans="1:26">
      <c r="A37" s="34" t="s">
        <v>268</v>
      </c>
      <c r="B37" s="33">
        <v>-1.16</v>
      </c>
      <c r="C37" s="33">
        <v>-1.13</v>
      </c>
      <c r="D37" s="33">
        <v>2.38</v>
      </c>
      <c r="E37" s="33">
        <v>-3.11</v>
      </c>
      <c r="F37" s="33">
        <v>-3.73</v>
      </c>
      <c r="G37" s="33">
        <v>-3.99</v>
      </c>
      <c r="H37" s="33">
        <v>-6.76</v>
      </c>
      <c r="I37" s="33">
        <v>-21.03</v>
      </c>
      <c r="J37" s="33">
        <v>-2.2</v>
      </c>
      <c r="K37" s="41">
        <f t="shared" ref="K37:P37" si="3">SUM(K29:K36)</f>
        <v>-2.005855159616</v>
      </c>
      <c r="L37" s="41">
        <f t="shared" si="3"/>
        <v>-2.1975084378324</v>
      </c>
      <c r="M37" s="41">
        <f t="shared" si="3"/>
        <v>-2.75235412828352</v>
      </c>
      <c r="N37" s="41">
        <f t="shared" si="3"/>
        <v>-3.11208674018647</v>
      </c>
      <c r="O37" s="41">
        <f t="shared" si="3"/>
        <v>-3.82232983964455</v>
      </c>
      <c r="P37" s="41">
        <f t="shared" si="3"/>
        <v>-4.21112192135022</v>
      </c>
      <c r="Q37" s="45"/>
      <c r="R37" s="45"/>
      <c r="S37" s="33">
        <v>-1.72</v>
      </c>
      <c r="T37" s="45"/>
      <c r="U37" s="45"/>
      <c r="V37" s="45"/>
      <c r="W37" s="45"/>
      <c r="X37" s="45"/>
      <c r="Y37" s="45"/>
      <c r="Z37" s="45"/>
    </row>
    <row r="38" spans="1:26">
      <c r="A38" s="32" t="s">
        <v>269</v>
      </c>
      <c r="B38" s="33">
        <v>0</v>
      </c>
      <c r="C38" s="33">
        <v>0</v>
      </c>
      <c r="D38" s="33">
        <v>0</v>
      </c>
      <c r="E38" s="33">
        <v>0</v>
      </c>
      <c r="F38" s="33">
        <v>0</v>
      </c>
      <c r="G38" s="33">
        <v>0</v>
      </c>
      <c r="H38" s="33">
        <v>0.01</v>
      </c>
      <c r="I38" s="33">
        <v>-0.09</v>
      </c>
      <c r="J38" s="33">
        <v>-0.02</v>
      </c>
      <c r="P38" s="42"/>
      <c r="Q38" s="45"/>
      <c r="R38" s="45"/>
      <c r="S38" s="33">
        <v>0.02</v>
      </c>
      <c r="T38" s="45"/>
      <c r="U38" s="45"/>
      <c r="V38" s="45"/>
      <c r="W38" s="45"/>
      <c r="X38" s="45"/>
      <c r="Y38" s="45"/>
      <c r="Z38" s="45"/>
    </row>
    <row r="39" spans="1:26">
      <c r="A39" s="32" t="s">
        <v>270</v>
      </c>
      <c r="B39" s="33">
        <v>0.68</v>
      </c>
      <c r="C39" s="33">
        <v>1.03</v>
      </c>
      <c r="D39" s="33">
        <v>4.57</v>
      </c>
      <c r="E39" s="33">
        <v>4.05</v>
      </c>
      <c r="F39" s="33">
        <v>9.01</v>
      </c>
      <c r="G39" s="33">
        <v>3.01</v>
      </c>
      <c r="H39" s="33">
        <v>-11.95</v>
      </c>
      <c r="I39" s="33">
        <v>-7.17</v>
      </c>
      <c r="J39" s="33">
        <v>-1.7</v>
      </c>
      <c r="K39" s="37">
        <f t="shared" ref="K39:P39" si="4">K17+K27+K37</f>
        <v>3.00932459845518</v>
      </c>
      <c r="L39" s="37">
        <f t="shared" si="4"/>
        <v>10.9780732714299</v>
      </c>
      <c r="M39" s="37">
        <f t="shared" si="4"/>
        <v>10.6945748869301</v>
      </c>
      <c r="N39" s="37">
        <f t="shared" si="4"/>
        <v>10.5042431097791</v>
      </c>
      <c r="O39" s="37">
        <f t="shared" si="4"/>
        <v>11.5148754370888</v>
      </c>
      <c r="P39" s="37">
        <f t="shared" si="4"/>
        <v>12.7327456656939</v>
      </c>
      <c r="Q39" s="45"/>
      <c r="R39" s="45"/>
      <c r="S39" s="33">
        <v>3.36</v>
      </c>
      <c r="T39" s="45"/>
      <c r="U39" s="45"/>
      <c r="V39" s="45"/>
      <c r="W39" s="45"/>
      <c r="X39" s="45"/>
      <c r="Y39" s="45"/>
      <c r="Z39" s="45"/>
    </row>
    <row r="40" spans="1:26">
      <c r="A40" s="32" t="s">
        <v>271</v>
      </c>
      <c r="B40" s="33">
        <v>7.01</v>
      </c>
      <c r="C40" s="33">
        <v>7.68</v>
      </c>
      <c r="D40" s="33">
        <v>8.72</v>
      </c>
      <c r="E40" s="33">
        <v>13.29</v>
      </c>
      <c r="F40" s="33">
        <v>17.33</v>
      </c>
      <c r="G40" s="33">
        <v>26.34</v>
      </c>
      <c r="H40" s="33">
        <v>29.34</v>
      </c>
      <c r="I40" s="33">
        <v>19.48</v>
      </c>
      <c r="J40" s="33">
        <v>12.3</v>
      </c>
      <c r="K40" s="38">
        <f t="shared" ref="K40:P40" si="5">J41</f>
        <v>10.61</v>
      </c>
      <c r="L40" s="38">
        <f t="shared" si="5"/>
        <v>13.6193245984552</v>
      </c>
      <c r="M40" s="38">
        <f t="shared" si="5"/>
        <v>24.5973978698851</v>
      </c>
      <c r="N40" s="38">
        <f t="shared" si="5"/>
        <v>35.2919727568152</v>
      </c>
      <c r="O40" s="38">
        <f t="shared" si="5"/>
        <v>45.7962158665943</v>
      </c>
      <c r="P40" s="38">
        <f t="shared" si="5"/>
        <v>57.3110913036831</v>
      </c>
      <c r="Q40" s="45"/>
      <c r="R40" s="45"/>
      <c r="S40" s="33">
        <v>10.61</v>
      </c>
      <c r="T40" s="45"/>
      <c r="U40" s="45"/>
      <c r="V40" s="45"/>
      <c r="W40" s="45"/>
      <c r="X40" s="45"/>
      <c r="Y40" s="45"/>
      <c r="Z40" s="45"/>
    </row>
    <row r="41" spans="1:26">
      <c r="A41" s="32" t="s">
        <v>272</v>
      </c>
      <c r="B41" s="33">
        <v>7.68</v>
      </c>
      <c r="C41" s="33">
        <v>8.72</v>
      </c>
      <c r="D41" s="33">
        <v>13.29</v>
      </c>
      <c r="E41" s="33">
        <v>17.33</v>
      </c>
      <c r="F41" s="33">
        <v>26.34</v>
      </c>
      <c r="G41" s="33">
        <v>29.34</v>
      </c>
      <c r="H41" s="33">
        <v>17.39</v>
      </c>
      <c r="I41" s="33">
        <v>12.3</v>
      </c>
      <c r="J41" s="33">
        <v>10.61</v>
      </c>
      <c r="K41" s="38">
        <f t="shared" ref="K41:P41" si="6">K39+K40</f>
        <v>13.6193245984552</v>
      </c>
      <c r="L41" s="38">
        <f t="shared" si="6"/>
        <v>24.5973978698851</v>
      </c>
      <c r="M41" s="38">
        <f t="shared" si="6"/>
        <v>35.2919727568152</v>
      </c>
      <c r="N41" s="38">
        <f t="shared" si="6"/>
        <v>45.7962158665943</v>
      </c>
      <c r="O41" s="38">
        <f t="shared" si="6"/>
        <v>57.3110913036831</v>
      </c>
      <c r="P41" s="38">
        <f t="shared" si="6"/>
        <v>70.043836969377</v>
      </c>
      <c r="Q41" s="45"/>
      <c r="R41" s="45"/>
      <c r="S41" s="33">
        <v>13.97</v>
      </c>
      <c r="T41" s="45"/>
      <c r="U41" s="45"/>
      <c r="V41" s="45"/>
      <c r="W41" s="45"/>
      <c r="X41" s="45"/>
      <c r="Y41" s="45"/>
      <c r="Z41" s="45"/>
    </row>
    <row r="42" spans="1:1">
      <c r="A42" s="32"/>
    </row>
    <row r="43" spans="1:16">
      <c r="A43" s="32" t="s">
        <v>273</v>
      </c>
      <c r="G43" s="36">
        <f>SUM(G11:G15)</f>
        <v>-0.660000000000001</v>
      </c>
      <c r="H43" s="36">
        <f t="shared" ref="H43:P43" si="7">SUM(H11:H15)</f>
        <v>-2.42</v>
      </c>
      <c r="I43" s="36">
        <f t="shared" si="7"/>
        <v>2.87</v>
      </c>
      <c r="J43" s="36">
        <f t="shared" si="7"/>
        <v>0.77</v>
      </c>
      <c r="K43" s="36">
        <f t="shared" si="7"/>
        <v>-0.369973540343912</v>
      </c>
      <c r="L43" s="36">
        <f t="shared" si="7"/>
        <v>-1.74128811612104</v>
      </c>
      <c r="M43" s="36">
        <f t="shared" si="7"/>
        <v>-1.49361809939302</v>
      </c>
      <c r="N43" s="36">
        <f t="shared" si="7"/>
        <v>-1.73532051372327</v>
      </c>
      <c r="O43" s="36">
        <f t="shared" si="7"/>
        <v>-2.25390893626484</v>
      </c>
      <c r="P43" s="36">
        <f t="shared" si="7"/>
        <v>-2.09840048904152</v>
      </c>
    </row>
    <row r="44" spans="1:1">
      <c r="A44" s="32"/>
    </row>
    <row r="45" spans="1:1">
      <c r="A45" s="32"/>
    </row>
    <row r="46" spans="1:25">
      <c r="A46" s="32"/>
      <c r="B46" s="33"/>
      <c r="C46" s="33"/>
      <c r="D46" s="33"/>
      <c r="E46" s="33"/>
      <c r="F46" s="33"/>
      <c r="G46" s="33"/>
      <c r="H46" s="33"/>
      <c r="I46" s="33"/>
      <c r="J46" s="33"/>
      <c r="Q46" s="45"/>
      <c r="U46" s="45"/>
      <c r="W46" s="45"/>
      <c r="Y46" s="45"/>
    </row>
    <row r="47" spans="1:10">
      <c r="A47" s="32"/>
      <c r="B47" s="33"/>
      <c r="C47" s="33"/>
      <c r="D47" s="33"/>
      <c r="E47" s="33"/>
      <c r="F47" s="33"/>
      <c r="G47" s="33"/>
      <c r="H47" s="33"/>
      <c r="I47" s="33"/>
      <c r="J47" s="33"/>
    </row>
    <row r="48" spans="1:1">
      <c r="A48" s="32"/>
    </row>
    <row r="49" spans="1:1">
      <c r="A49" s="32"/>
    </row>
    <row r="50" spans="1:1">
      <c r="A50" s="32"/>
    </row>
    <row r="51" spans="1:1">
      <c r="A51" s="32"/>
    </row>
    <row r="52" spans="1:10">
      <c r="A52" s="32"/>
      <c r="B52" s="33"/>
      <c r="C52" s="33"/>
      <c r="D52" s="33"/>
      <c r="E52" s="33"/>
      <c r="F52" s="33"/>
      <c r="G52" s="33"/>
      <c r="H52" s="33"/>
      <c r="I52" s="33"/>
      <c r="J52" s="33"/>
    </row>
    <row r="53" spans="1:26">
      <c r="A53" s="32"/>
      <c r="B53" s="32"/>
      <c r="C53" s="32"/>
      <c r="D53" s="32"/>
      <c r="E53" s="32"/>
      <c r="F53" s="32"/>
      <c r="G53" s="32"/>
      <c r="H53" s="32"/>
      <c r="I53" s="32"/>
      <c r="J53" s="32"/>
      <c r="P53" s="43"/>
      <c r="Q53" s="44"/>
      <c r="R53" s="44"/>
      <c r="S53" s="32"/>
      <c r="T53" s="44"/>
      <c r="U53" s="44"/>
      <c r="V53" s="44"/>
      <c r="W53" s="44"/>
      <c r="X53" s="44"/>
      <c r="Y53" s="44"/>
      <c r="Z53" s="44"/>
    </row>
    <row r="54" spans="1:26">
      <c r="A54" s="32"/>
      <c r="B54" s="32"/>
      <c r="C54" s="32"/>
      <c r="D54" s="32"/>
      <c r="E54" s="32"/>
      <c r="F54" s="32"/>
      <c r="G54" s="32"/>
      <c r="H54" s="32"/>
      <c r="I54" s="32"/>
      <c r="J54" s="32"/>
      <c r="P54" s="43"/>
      <c r="Q54" s="44"/>
      <c r="R54" s="44"/>
      <c r="S54" s="32"/>
      <c r="T54" s="44"/>
      <c r="U54" s="44"/>
      <c r="V54" s="44"/>
      <c r="W54" s="44"/>
      <c r="X54" s="44"/>
      <c r="Y54" s="44"/>
      <c r="Z54" s="44"/>
    </row>
    <row r="55" spans="1:26">
      <c r="A55" s="32"/>
      <c r="B55" s="32"/>
      <c r="C55" s="32"/>
      <c r="D55" s="32"/>
      <c r="E55" s="32"/>
      <c r="F55" s="32"/>
      <c r="G55" s="32"/>
      <c r="H55" s="32"/>
      <c r="I55" s="32"/>
      <c r="J55" s="32"/>
      <c r="P55" s="43"/>
      <c r="Q55" s="44"/>
      <c r="R55" s="44"/>
      <c r="S55" s="32"/>
      <c r="T55" s="44"/>
      <c r="U55" s="44"/>
      <c r="V55" s="44"/>
      <c r="W55" s="44"/>
      <c r="X55" s="44"/>
      <c r="Y55" s="44"/>
      <c r="Z55" s="44"/>
    </row>
    <row r="56" spans="1:26">
      <c r="A56" s="32"/>
      <c r="B56" s="32"/>
      <c r="C56" s="32"/>
      <c r="D56" s="32"/>
      <c r="E56" s="32"/>
      <c r="F56" s="32"/>
      <c r="G56" s="32"/>
      <c r="H56" s="32"/>
      <c r="I56" s="32"/>
      <c r="J56" s="32"/>
      <c r="P56" s="43"/>
      <c r="Q56" s="44"/>
      <c r="R56" s="44"/>
      <c r="S56" s="32"/>
      <c r="T56" s="44"/>
      <c r="U56" s="44"/>
      <c r="V56" s="44"/>
      <c r="W56" s="44"/>
      <c r="X56" s="44"/>
      <c r="Y56" s="44"/>
      <c r="Z56" s="44"/>
    </row>
    <row r="57" spans="1:10">
      <c r="A57" s="32"/>
      <c r="B57" s="32"/>
      <c r="C57" s="32"/>
      <c r="D57" s="32"/>
      <c r="E57" s="32"/>
      <c r="F57" s="32"/>
      <c r="G57" s="32"/>
      <c r="H57" s="32"/>
      <c r="I57" s="32"/>
      <c r="J57" s="32"/>
    </row>
    <row r="58" spans="1:26">
      <c r="A58" s="32"/>
      <c r="C58" s="32"/>
      <c r="D58" s="32"/>
      <c r="E58" s="32"/>
      <c r="F58" s="32"/>
      <c r="G58" s="32"/>
      <c r="H58" s="32"/>
      <c r="I58" s="32"/>
      <c r="J58" s="32"/>
      <c r="P58" s="43"/>
      <c r="Q58" s="44"/>
      <c r="R58" s="44"/>
      <c r="T58" s="44"/>
      <c r="U58" s="44"/>
      <c r="V58" s="44"/>
      <c r="W58" s="44"/>
      <c r="X58" s="44"/>
      <c r="Y58" s="44"/>
      <c r="Z58" s="44"/>
    </row>
    <row r="59" spans="1:10">
      <c r="A59" s="32"/>
      <c r="B59" s="32"/>
      <c r="C59" s="32"/>
      <c r="D59" s="32"/>
      <c r="E59" s="32"/>
      <c r="F59" s="32"/>
      <c r="G59" s="32"/>
      <c r="H59" s="32"/>
      <c r="I59" s="32"/>
      <c r="J59" s="32"/>
    </row>
    <row r="60" spans="1:1">
      <c r="A60" s="32"/>
    </row>
    <row r="61" spans="1:1">
      <c r="A61" s="32"/>
    </row>
    <row r="62" spans="1:1">
      <c r="A62" s="32"/>
    </row>
    <row r="63" spans="1:19">
      <c r="A63" s="32"/>
      <c r="B63" s="32"/>
      <c r="C63" s="32"/>
      <c r="D63" s="32"/>
      <c r="E63" s="32"/>
      <c r="F63" s="32"/>
      <c r="G63" s="32"/>
      <c r="H63" s="32"/>
      <c r="I63" s="32"/>
      <c r="J63" s="32"/>
      <c r="S63" s="32"/>
    </row>
    <row r="64" spans="1:19">
      <c r="A64" s="32"/>
      <c r="B64" s="32"/>
      <c r="C64" s="32"/>
      <c r="D64" s="32"/>
      <c r="E64" s="32"/>
      <c r="F64" s="32"/>
      <c r="G64" s="32"/>
      <c r="H64" s="32"/>
      <c r="I64" s="32"/>
      <c r="J64" s="32"/>
      <c r="S64" s="32"/>
    </row>
    <row r="84" spans="1:1">
      <c r="A84" s="32" t="s">
        <v>123</v>
      </c>
    </row>
    <row r="85" spans="1:1">
      <c r="A85" s="46" t="s">
        <v>124</v>
      </c>
    </row>
  </sheetData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P52"/>
  <sheetViews>
    <sheetView showGridLines="0" topLeftCell="B12" workbookViewId="0">
      <selection activeCell="D21" sqref="D21"/>
    </sheetView>
  </sheetViews>
  <sheetFormatPr defaultColWidth="9" defaultRowHeight="13.5"/>
  <cols>
    <col min="3" max="3" width="39" customWidth="1"/>
    <col min="4" max="4" width="12.625" style="1"/>
    <col min="5" max="10" width="13.75" style="1"/>
    <col min="11" max="11" width="13.625" style="1"/>
    <col min="12" max="16" width="12.625" style="1"/>
  </cols>
  <sheetData>
    <row r="3" spans="3:16">
      <c r="C3" s="2"/>
      <c r="D3" s="1">
        <v>2018</v>
      </c>
      <c r="E3" s="1">
        <v>2019</v>
      </c>
      <c r="F3" s="1">
        <v>2020</v>
      </c>
      <c r="G3" s="1">
        <v>2021</v>
      </c>
      <c r="H3" s="1">
        <v>2022</v>
      </c>
      <c r="I3" s="1">
        <v>2023</v>
      </c>
      <c r="J3" s="1">
        <v>2024</v>
      </c>
      <c r="K3" s="1">
        <v>2025</v>
      </c>
      <c r="L3" s="1">
        <v>2026</v>
      </c>
      <c r="M3" s="1">
        <v>2027</v>
      </c>
      <c r="N3" s="1">
        <v>2028</v>
      </c>
      <c r="O3" s="1">
        <v>2029</v>
      </c>
      <c r="P3" s="1">
        <v>2030</v>
      </c>
    </row>
    <row r="4" ht="14.25" spans="3:11">
      <c r="C4" s="3" t="s">
        <v>105</v>
      </c>
      <c r="D4" s="4">
        <f>IS!J27</f>
        <v>5.4</v>
      </c>
      <c r="E4" s="4">
        <f>IS!K27</f>
        <v>6.115412072</v>
      </c>
      <c r="F4" s="4">
        <f>IS!L27</f>
        <v>6.69972084705</v>
      </c>
      <c r="G4" s="4">
        <f>IS!M27</f>
        <v>8.39132356183999</v>
      </c>
      <c r="H4" s="4">
        <f>IS!N27</f>
        <v>9.48806932983681</v>
      </c>
      <c r="I4" s="4">
        <f>IS!O27</f>
        <v>11.6534446330627</v>
      </c>
      <c r="J4" s="4">
        <f>IS!P27</f>
        <v>12.8387863455799</v>
      </c>
      <c r="K4" s="14"/>
    </row>
    <row r="5" ht="14.25" spans="3:11">
      <c r="C5" s="3" t="s">
        <v>274</v>
      </c>
      <c r="D5" s="5">
        <f>IS!J25</f>
        <v>1.06</v>
      </c>
      <c r="E5" s="5">
        <f>IS!K25</f>
        <v>1.342407528</v>
      </c>
      <c r="F5" s="5">
        <f>IS!L25</f>
        <v>1.57153945795</v>
      </c>
      <c r="G5" s="5">
        <f>IS!M25</f>
        <v>2.09783089046</v>
      </c>
      <c r="H5" s="5">
        <f>IS!N25</f>
        <v>2.3720173324592</v>
      </c>
      <c r="I5" s="5">
        <f>IS!O25</f>
        <v>2.91336115826566</v>
      </c>
      <c r="J5" s="5">
        <f>IS!P25</f>
        <v>3.20969658639498</v>
      </c>
      <c r="K5" s="14"/>
    </row>
    <row r="6" ht="14.25" spans="3:10">
      <c r="C6" s="3" t="s">
        <v>275</v>
      </c>
      <c r="D6" s="5">
        <f>IS!J11</f>
        <v>0.61</v>
      </c>
      <c r="E6" s="5">
        <f>IS!K11</f>
        <v>0.4649298</v>
      </c>
      <c r="F6" s="5">
        <f>IS!L11</f>
        <v>0.429457175</v>
      </c>
      <c r="G6" s="5">
        <f>IS!M11</f>
        <v>0</v>
      </c>
      <c r="H6" s="5">
        <f>IS!N11</f>
        <v>0</v>
      </c>
      <c r="I6" s="5">
        <f>IS!O11</f>
        <v>0</v>
      </c>
      <c r="J6" s="5">
        <f>IS!P11</f>
        <v>0</v>
      </c>
    </row>
    <row r="7" ht="14.25" spans="3:11">
      <c r="C7" s="3" t="s">
        <v>276</v>
      </c>
      <c r="D7" s="5">
        <f>D4+D5+D6</f>
        <v>7.07</v>
      </c>
      <c r="E7" s="5">
        <f t="shared" ref="E7:J7" si="0">E4+E5+E6</f>
        <v>7.9227494</v>
      </c>
      <c r="F7" s="5">
        <f t="shared" si="0"/>
        <v>8.70071748</v>
      </c>
      <c r="G7" s="5">
        <f t="shared" si="0"/>
        <v>10.4891544523</v>
      </c>
      <c r="H7" s="5">
        <f t="shared" si="0"/>
        <v>11.860086662296</v>
      </c>
      <c r="I7" s="5">
        <f t="shared" si="0"/>
        <v>14.5668057913283</v>
      </c>
      <c r="J7" s="5">
        <f t="shared" si="0"/>
        <v>16.0484829319749</v>
      </c>
      <c r="K7" s="14"/>
    </row>
    <row r="8" ht="14.25" spans="3:11">
      <c r="C8" s="3" t="s">
        <v>277</v>
      </c>
      <c r="E8" s="6">
        <f t="shared" ref="E8:K8" si="1">E7/D7-1</f>
        <v>0.120615190947665</v>
      </c>
      <c r="F8" s="6">
        <f t="shared" si="1"/>
        <v>0.0981942051581246</v>
      </c>
      <c r="G8" s="6">
        <f t="shared" si="1"/>
        <v>0.205550516541997</v>
      </c>
      <c r="H8" s="6">
        <f t="shared" si="1"/>
        <v>0.130699973599437</v>
      </c>
      <c r="I8" s="6">
        <f t="shared" si="1"/>
        <v>0.228220855892828</v>
      </c>
      <c r="J8" s="6">
        <f t="shared" si="1"/>
        <v>0.101715994698621</v>
      </c>
      <c r="K8" s="6"/>
    </row>
    <row r="9" ht="14.25" spans="3:11">
      <c r="C9" s="3" t="s">
        <v>278</v>
      </c>
      <c r="D9" s="5">
        <f>D7*IS!J42</f>
        <v>1.16009287925697</v>
      </c>
      <c r="E9" s="5">
        <f>E7*IS!K42</f>
        <v>1.426094892</v>
      </c>
      <c r="F9" s="5">
        <f>F7*IS!L42</f>
        <v>1.6531363212</v>
      </c>
      <c r="G9" s="5">
        <f>G7*IS!M42</f>
        <v>2.09783089046</v>
      </c>
      <c r="H9" s="5">
        <f>H7*IS!N42</f>
        <v>2.3720173324592</v>
      </c>
      <c r="I9" s="5">
        <f>I7*IS!O42</f>
        <v>2.91336115826566</v>
      </c>
      <c r="J9" s="5">
        <f>J7*IS!P42</f>
        <v>3.20969658639498</v>
      </c>
      <c r="K9" s="14"/>
    </row>
    <row r="10" ht="14.25" spans="3:11">
      <c r="C10" s="3" t="s">
        <v>279</v>
      </c>
      <c r="D10" s="5">
        <f>D7-D9</f>
        <v>5.90990712074303</v>
      </c>
      <c r="E10" s="5">
        <f t="shared" ref="E10:J10" si="2">E7-E9</f>
        <v>6.496654508</v>
      </c>
      <c r="F10" s="5">
        <f t="shared" si="2"/>
        <v>7.0475811588</v>
      </c>
      <c r="G10" s="5">
        <f t="shared" si="2"/>
        <v>8.39132356183999</v>
      </c>
      <c r="H10" s="5">
        <f t="shared" si="2"/>
        <v>9.48806932983681</v>
      </c>
      <c r="I10" s="5">
        <f t="shared" si="2"/>
        <v>11.6534446330627</v>
      </c>
      <c r="J10" s="5">
        <f t="shared" si="2"/>
        <v>12.8387863455799</v>
      </c>
      <c r="K10" s="14"/>
    </row>
    <row r="11" ht="14.25" spans="3:11">
      <c r="C11" s="3" t="s">
        <v>280</v>
      </c>
      <c r="D11" s="5">
        <f>资本开支假设!F11</f>
        <v>0.92</v>
      </c>
      <c r="E11" s="5">
        <f>资本开支假设!G11</f>
        <v>1.289</v>
      </c>
      <c r="F11" s="5">
        <f>资本开支假设!H11</f>
        <v>1.1601</v>
      </c>
      <c r="G11" s="5">
        <f>资本开支假设!I11</f>
        <v>1.04409</v>
      </c>
      <c r="H11" s="5">
        <f>资本开支假设!J11</f>
        <v>1.024681</v>
      </c>
      <c r="I11" s="5">
        <f>资本开支假设!K11</f>
        <v>1.0497129</v>
      </c>
      <c r="J11" s="5">
        <f>资本开支假设!L11</f>
        <v>1.07224161</v>
      </c>
      <c r="K11" s="14"/>
    </row>
    <row r="12" ht="14.25" spans="3:11">
      <c r="C12" s="3" t="s">
        <v>281</v>
      </c>
      <c r="D12" s="5">
        <f>资本开支假设!F24</f>
        <v>0.37</v>
      </c>
      <c r="E12" s="5">
        <f>资本开支假设!G24</f>
        <v>0.3672</v>
      </c>
      <c r="F12" s="5">
        <f>资本开支假设!H24</f>
        <v>0.350676</v>
      </c>
      <c r="G12" s="5">
        <f>资本开支假设!I24</f>
        <v>0.34839558</v>
      </c>
      <c r="H12" s="5">
        <f>资本开支假设!J24</f>
        <v>0.3462177789</v>
      </c>
      <c r="I12" s="5">
        <f>资本开支假设!K24</f>
        <v>0.3531379788495</v>
      </c>
      <c r="J12" s="5">
        <f>资本开支假设!L24</f>
        <v>0.359746769801272</v>
      </c>
      <c r="K12" s="14"/>
    </row>
    <row r="13" ht="14.25" spans="3:11">
      <c r="C13" s="3" t="s">
        <v>282</v>
      </c>
      <c r="D13" s="5">
        <f>CS!J43</f>
        <v>0.77</v>
      </c>
      <c r="E13" s="5">
        <f>CS!K43</f>
        <v>-0.369973540343912</v>
      </c>
      <c r="F13" s="5">
        <f>CS!L43</f>
        <v>-1.74128811612104</v>
      </c>
      <c r="G13" s="5">
        <f>CS!M43</f>
        <v>-1.49361809939302</v>
      </c>
      <c r="H13" s="5">
        <f>CS!N43</f>
        <v>-1.73532051372327</v>
      </c>
      <c r="I13" s="5">
        <f>CS!O43</f>
        <v>-2.25390893626484</v>
      </c>
      <c r="J13" s="5">
        <f>CS!P43</f>
        <v>-2.09840048904152</v>
      </c>
      <c r="K13" s="14"/>
    </row>
    <row r="14" ht="14.25" spans="3:10">
      <c r="C14" s="3" t="s">
        <v>283</v>
      </c>
      <c r="D14" s="5">
        <f>资本开支假设!F7</f>
        <v>0.43</v>
      </c>
      <c r="E14" s="5">
        <f>资本开支假设!G7</f>
        <v>1.77</v>
      </c>
      <c r="F14" s="5">
        <f>资本开支假设!H7</f>
        <v>0.6</v>
      </c>
      <c r="G14" s="5">
        <f>资本开支假设!I7</f>
        <v>0.9</v>
      </c>
      <c r="H14" s="5">
        <f>资本开支假设!J7</f>
        <v>2.75</v>
      </c>
      <c r="I14" s="5">
        <f>资本开支假设!K7</f>
        <v>3.875</v>
      </c>
      <c r="J14" s="5">
        <f>资本开支假设!L7</f>
        <v>3.875</v>
      </c>
    </row>
    <row r="15" ht="14.25" spans="3:16">
      <c r="C15" s="3" t="s">
        <v>284</v>
      </c>
      <c r="D15" s="5">
        <f>D10+D11+D12-D13-D14</f>
        <v>5.99990712074304</v>
      </c>
      <c r="E15" s="5">
        <f t="shared" ref="E15:J15" si="3">E10+E11+E12-E13-E14</f>
        <v>6.75282804834391</v>
      </c>
      <c r="F15" s="5">
        <f t="shared" si="3"/>
        <v>9.69964527492104</v>
      </c>
      <c r="G15" s="5">
        <f t="shared" si="3"/>
        <v>10.377427241233</v>
      </c>
      <c r="H15" s="5">
        <f t="shared" si="3"/>
        <v>9.84428862246007</v>
      </c>
      <c r="I15" s="5">
        <f t="shared" si="3"/>
        <v>11.435204448177</v>
      </c>
      <c r="J15" s="5">
        <f t="shared" si="3"/>
        <v>12.4941752144227</v>
      </c>
      <c r="K15" s="14">
        <f>J15*(1+K16)</f>
        <v>13.9934762401535</v>
      </c>
      <c r="L15" s="14">
        <f t="shared" ref="L15:P15" si="4">K15*(1+L16)</f>
        <v>15.3928238641688</v>
      </c>
      <c r="M15" s="14">
        <f t="shared" si="4"/>
        <v>16.6242497733023</v>
      </c>
      <c r="N15" s="14">
        <f t="shared" si="4"/>
        <v>17.6217047597005</v>
      </c>
      <c r="O15" s="14">
        <f t="shared" si="4"/>
        <v>18.3265729500885</v>
      </c>
      <c r="P15" s="14">
        <f t="shared" si="4"/>
        <v>18.6931044090902</v>
      </c>
    </row>
    <row r="16" ht="14.25" spans="3:16">
      <c r="C16" s="7" t="s">
        <v>277</v>
      </c>
      <c r="E16" s="8">
        <f t="shared" ref="E16:K16" si="5">E15/D15-1</f>
        <v>0.125488763817336</v>
      </c>
      <c r="F16" s="8">
        <f t="shared" si="5"/>
        <v>0.436382683740899</v>
      </c>
      <c r="G16" s="8">
        <f t="shared" si="5"/>
        <v>0.0698769848897887</v>
      </c>
      <c r="H16" s="8">
        <f t="shared" si="5"/>
        <v>-0.0513748356292586</v>
      </c>
      <c r="I16" s="8">
        <f t="shared" si="5"/>
        <v>0.161608003049321</v>
      </c>
      <c r="J16" s="8">
        <f t="shared" si="5"/>
        <v>0.0926061944099794</v>
      </c>
      <c r="K16" s="27">
        <v>0.12</v>
      </c>
      <c r="L16" s="28">
        <v>0.1</v>
      </c>
      <c r="M16" s="28">
        <v>0.08</v>
      </c>
      <c r="N16" s="28">
        <v>0.06</v>
      </c>
      <c r="O16" s="28">
        <v>0.04</v>
      </c>
      <c r="P16" s="28">
        <v>0.02</v>
      </c>
    </row>
    <row r="20" ht="14.25" spans="3:4">
      <c r="C20" s="9" t="s">
        <v>285</v>
      </c>
      <c r="D20" s="9"/>
    </row>
    <row r="21" ht="14.25" spans="3:4">
      <c r="C21" s="7" t="s">
        <v>286</v>
      </c>
      <c r="D21" s="10">
        <v>0.0967</v>
      </c>
    </row>
    <row r="22" ht="14.25" spans="3:4">
      <c r="C22" s="7" t="s">
        <v>287</v>
      </c>
      <c r="D22" s="10">
        <v>0.02</v>
      </c>
    </row>
    <row r="23" ht="14.25" spans="3:4">
      <c r="C23" s="7" t="s">
        <v>288</v>
      </c>
      <c r="D23" s="10">
        <v>0.0757</v>
      </c>
    </row>
    <row r="24" ht="14.25" spans="3:4">
      <c r="C24" s="7" t="s">
        <v>289</v>
      </c>
      <c r="D24" s="10">
        <f>D25+D27*(D26-D25)</f>
        <v>0.09776308</v>
      </c>
    </row>
    <row r="25" ht="14.25" spans="3:4">
      <c r="C25" s="7" t="s">
        <v>290</v>
      </c>
      <c r="D25" s="10">
        <v>0.0315</v>
      </c>
    </row>
    <row r="26" ht="14.25" spans="3:4">
      <c r="C26" s="7" t="s">
        <v>291</v>
      </c>
      <c r="D26" s="10">
        <v>0.1108</v>
      </c>
    </row>
    <row r="27" ht="14.25" spans="3:4">
      <c r="C27" s="7" t="s">
        <v>292</v>
      </c>
      <c r="D27" s="11">
        <v>0.8356</v>
      </c>
    </row>
    <row r="28" ht="14.25" spans="3:4">
      <c r="C28" s="7" t="s">
        <v>293</v>
      </c>
      <c r="D28" s="10">
        <v>0.0491</v>
      </c>
    </row>
    <row r="31" ht="14.25" spans="3:4">
      <c r="C31" s="9" t="s">
        <v>294</v>
      </c>
      <c r="D31" s="12"/>
    </row>
    <row r="32" ht="14.25" spans="3:16">
      <c r="C32" s="7" t="s">
        <v>295</v>
      </c>
      <c r="D32" s="7"/>
      <c r="E32" s="1">
        <f>1/(1+$D$21)^(E3-$E$3)</f>
        <v>1</v>
      </c>
      <c r="F32" s="13">
        <f>1/(1+$D$21)^(F3-$E$3)</f>
        <v>0.911826388255676</v>
      </c>
      <c r="G32" s="13">
        <f>1/(1+$D$21)^(G3-$E$3)</f>
        <v>0.831427362319391</v>
      </c>
      <c r="H32" s="13">
        <f>1/(1+$D$21)^(H3-$E$3)</f>
        <v>0.758117408880634</v>
      </c>
      <c r="I32" s="13">
        <f>1/(1+$D$21)^(I3-$E$3)</f>
        <v>0.69127145881338</v>
      </c>
      <c r="J32" s="13">
        <f>1/(1+$D$21)^(J3-$E$3)</f>
        <v>0.630319557594037</v>
      </c>
      <c r="K32" s="13">
        <f>1/(1+$D$21)^(K3-$E$3)</f>
        <v>0.574742005647886</v>
      </c>
      <c r="L32" s="13">
        <f>1/(1+$D$21)^(L3-$E$3)</f>
        <v>0.524064927188735</v>
      </c>
      <c r="M32" s="13">
        <f>1/(1+$D$21)^(M3-$E$3)</f>
        <v>0.477856229769978</v>
      </c>
      <c r="N32" s="13">
        <f>1/(1+$D$21)^(N3-$E$3)</f>
        <v>0.435721920096634</v>
      </c>
      <c r="O32" s="13">
        <f>1/(1+$D$21)^(O3-$E$3)</f>
        <v>0.397302744685542</v>
      </c>
      <c r="P32" s="13">
        <f>1/(1+$D$21)^(P3-$E$3)</f>
        <v>0.362271126730685</v>
      </c>
    </row>
    <row r="33" ht="14.25" spans="3:16">
      <c r="C33" s="7" t="s">
        <v>296</v>
      </c>
      <c r="D33" s="7"/>
      <c r="E33" s="4">
        <f t="shared" ref="E33:P33" si="6">E15*E32</f>
        <v>6.75282804834391</v>
      </c>
      <c r="F33" s="4">
        <f t="shared" si="6"/>
        <v>8.84439251839249</v>
      </c>
      <c r="G33" s="4">
        <f t="shared" si="6"/>
        <v>8.62807695883975</v>
      </c>
      <c r="H33" s="4">
        <f t="shared" si="6"/>
        <v>7.46312658273253</v>
      </c>
      <c r="I33" s="4">
        <f t="shared" si="6"/>
        <v>7.90483046072056</v>
      </c>
      <c r="J33" s="4">
        <f t="shared" si="6"/>
        <v>7.87532299365732</v>
      </c>
      <c r="K33" s="4">
        <f t="shared" si="6"/>
        <v>8.04263860025184</v>
      </c>
      <c r="L33" s="4">
        <f t="shared" si="6"/>
        <v>8.06683911760466</v>
      </c>
      <c r="M33" s="4">
        <f t="shared" si="6"/>
        <v>7.94400131942466</v>
      </c>
      <c r="N33" s="4">
        <f t="shared" si="6"/>
        <v>7.67816303327268</v>
      </c>
      <c r="O33" s="4">
        <f t="shared" si="6"/>
        <v>7.28119773374996</v>
      </c>
      <c r="P33" s="4">
        <f t="shared" si="6"/>
        <v>6.77197199637546</v>
      </c>
    </row>
    <row r="34" ht="14.25" spans="3:5">
      <c r="C34" s="7" t="s">
        <v>297</v>
      </c>
      <c r="D34" s="7"/>
      <c r="E34" s="14">
        <f>SUM(E33:P33)</f>
        <v>93.2533893633658</v>
      </c>
    </row>
    <row r="35" ht="14.25" spans="3:5">
      <c r="C35" s="7" t="s">
        <v>298</v>
      </c>
      <c r="D35" s="7"/>
      <c r="E35" s="14">
        <f>P15/(D21-D22)*P32</f>
        <v>88.2916818301885</v>
      </c>
    </row>
    <row r="36" ht="14.25" spans="3:5">
      <c r="C36" s="7" t="s">
        <v>299</v>
      </c>
      <c r="D36" s="7"/>
      <c r="E36" s="14">
        <f>E34+E35</f>
        <v>181.545071193554</v>
      </c>
    </row>
    <row r="37" ht="14.25" spans="3:5">
      <c r="C37" s="7" t="s">
        <v>300</v>
      </c>
      <c r="D37" s="7"/>
      <c r="E37" s="14">
        <f>BS!K31+BS!K46-BS!K3-BS!K4</f>
        <v>-23.7893245984552</v>
      </c>
    </row>
    <row r="38" ht="14.25" spans="3:5">
      <c r="C38" s="7" t="s">
        <v>301</v>
      </c>
      <c r="D38" s="7"/>
      <c r="E38" s="14">
        <f>BS!K62</f>
        <v>0</v>
      </c>
    </row>
    <row r="39" ht="14.25" spans="1:5">
      <c r="A39" s="1" t="s">
        <v>302</v>
      </c>
      <c r="B39" s="1"/>
      <c r="C39" s="7" t="s">
        <v>303</v>
      </c>
      <c r="D39" s="7"/>
      <c r="E39" s="14">
        <f>(E34+P15/(D21-D22)*P32-E37-E38)</f>
        <v>205.334395792009</v>
      </c>
    </row>
    <row r="40" ht="14.25" spans="3:5">
      <c r="C40" s="7"/>
      <c r="D40" s="7"/>
      <c r="E40" s="14"/>
    </row>
    <row r="41" ht="14.25" spans="3:5">
      <c r="C41" s="7" t="s">
        <v>31</v>
      </c>
      <c r="D41" s="7"/>
      <c r="E41" s="1">
        <v>6.71</v>
      </c>
    </row>
    <row r="42" ht="14.25" spans="3:5">
      <c r="C42" s="7" t="s">
        <v>304</v>
      </c>
      <c r="D42" s="7"/>
      <c r="E42" s="5">
        <f>E39/E41</f>
        <v>30.6012512357689</v>
      </c>
    </row>
    <row r="45" spans="3:8">
      <c r="C45" s="15" t="s">
        <v>25</v>
      </c>
      <c r="D45" s="16"/>
      <c r="E45" s="17"/>
      <c r="F45" s="16"/>
      <c r="G45" s="16"/>
      <c r="H45" s="16"/>
    </row>
    <row r="46" ht="14.25" spans="3:8">
      <c r="C46" s="18" t="s">
        <v>305</v>
      </c>
      <c r="D46" s="19"/>
      <c r="E46" s="20"/>
      <c r="F46" s="19"/>
      <c r="G46" s="19"/>
      <c r="H46" s="19"/>
    </row>
    <row r="47" ht="14.25" spans="3:8">
      <c r="C47" s="21">
        <f>F42</f>
        <v>0</v>
      </c>
      <c r="D47" s="22">
        <v>0.02</v>
      </c>
      <c r="E47" s="22">
        <v>0.025</v>
      </c>
      <c r="F47" s="22">
        <v>0.03</v>
      </c>
      <c r="G47" s="22">
        <v>0.035</v>
      </c>
      <c r="H47" s="22">
        <v>0.04</v>
      </c>
    </row>
    <row r="48" ht="14.25" spans="3:8">
      <c r="C48" s="23">
        <v>0.085</v>
      </c>
      <c r="D48" s="24">
        <f>($E$34+$P$15/($C$48-D47)*$P$32-$E$37-$E$38)/$E$41</f>
        <v>32.969731523315</v>
      </c>
      <c r="E48" s="24">
        <f>($E$34+$P$15/($C$48-E47)*$P$32-$E$37-$E$38)/$E$41</f>
        <v>34.2636235322521</v>
      </c>
      <c r="F48" s="24">
        <f>($E$34+$P$15/($C$48-F47)*$P$32-$E$37-$E$38)/$E$41</f>
        <v>35.7927686337234</v>
      </c>
      <c r="G48" s="24">
        <f>($E$34+$P$15/($C$48-G47)*$P$32-$E$37-$E$38)/$E$41</f>
        <v>37.6277427554888</v>
      </c>
      <c r="H48" s="24">
        <f>($E$34+$P$15/($C$48-H47)*$P$32-$E$37-$E$38)/$E$41</f>
        <v>39.8704889043133</v>
      </c>
    </row>
    <row r="49" ht="14.25" spans="3:8">
      <c r="C49" s="23">
        <v>0.09</v>
      </c>
      <c r="D49" s="24">
        <f>($E$34+$P$15/($C$49-D47)*$P$32-$E$37-$E$38)/$E$41</f>
        <v>31.8606812299402</v>
      </c>
      <c r="E49" s="24">
        <f>($E$34+$P$15/($C$49-E47)*$P$32-$E$37-$E$38)/$E$41</f>
        <v>32.969731523315</v>
      </c>
      <c r="F49" s="24">
        <f>($E$34+$P$15/($C$49-F47)*$P$32-$E$37-$E$38)/$E$41</f>
        <v>34.2636235322521</v>
      </c>
      <c r="G49" s="24">
        <f>($E$34+$P$15/($C$49-G47)*$P$32-$E$37-$E$38)/$E$41</f>
        <v>35.7927686337234</v>
      </c>
      <c r="H49" s="24">
        <f>($E$34+$P$15/($C$49-H47)*$P$32-$E$37-$E$38)/$E$41</f>
        <v>37.6277427554888</v>
      </c>
    </row>
    <row r="50" ht="14.25" spans="3:8">
      <c r="C50" s="23">
        <v>0.0967</v>
      </c>
      <c r="D50" s="25">
        <f>($E$34+$P$15/($C$50-D47)*$P$32-$E$37-$E$38)/$E$41</f>
        <v>30.6012512357689</v>
      </c>
      <c r="E50" s="24">
        <f>($E$34+$P$15/($C$50-E47)*$P$32-$E$37-$E$38)/$E$41</f>
        <v>31.5188400655946</v>
      </c>
      <c r="F50" s="24">
        <f>($E$34+$P$15/($C$50-F47)*$P$32-$E$37-$E$38)/$E$41</f>
        <v>32.5739984351243</v>
      </c>
      <c r="G50" s="24">
        <f>($E$34+$P$15/($C$50-G47)*$P$32-$E$37-$E$38)/$E$41</f>
        <v>33.8001711271061</v>
      </c>
      <c r="H50" s="24">
        <f>($E$34+$P$15/($C$50-H47)*$P$32-$E$37-$E$38)/$E$41</f>
        <v>35.2426000257866</v>
      </c>
    </row>
    <row r="51" ht="14.25" spans="3:8">
      <c r="C51" s="23">
        <v>0.1</v>
      </c>
      <c r="D51" s="24">
        <f>($E$34+$P$15/($C$51-D47)*$P$32-$E$37-$E$38)/$E$41</f>
        <v>30.0584745032063</v>
      </c>
      <c r="E51" s="24">
        <f>($E$34+$P$15/($C$51-E47)*$P$32-$E$37-$E$38)/$E$41</f>
        <v>30.8995043090155</v>
      </c>
      <c r="F51" s="24">
        <f>($E$34+$P$15/($C$51-F47)*$P$32-$E$37-$E$38)/$E$41</f>
        <v>31.8606812299402</v>
      </c>
      <c r="G51" s="24">
        <f>($E$34+$P$15/($C$51-G47)*$P$32-$E$37-$E$38)/$E$41</f>
        <v>32.969731523315</v>
      </c>
      <c r="H51" s="24">
        <f>($E$34+$P$15/($C$51-H47)*$P$32-$E$37-$E$38)/$E$41</f>
        <v>34.2636235322521</v>
      </c>
    </row>
    <row r="52" ht="14.25" spans="3:8">
      <c r="C52" s="26">
        <v>0.105</v>
      </c>
      <c r="D52" s="24">
        <f>($E$34+$P$15/($C$52-D47)*$P$32-$E$37-$E$38)/$E$41</f>
        <v>29.3163893804335</v>
      </c>
      <c r="E52" s="24">
        <f>($E$34+$P$15/($C$52-E47)*$P$32-$E$37-$E$38)/$E$41</f>
        <v>30.0584745032063</v>
      </c>
      <c r="F52" s="24">
        <f>($E$34+$P$15/($C$52-F47)*$P$32-$E$37-$E$38)/$E$41</f>
        <v>30.8995043090155</v>
      </c>
      <c r="G52" s="24">
        <f>($E$34+$P$15/($C$52-G47)*$P$32-$E$37-$E$38)/$E$41</f>
        <v>31.8606812299402</v>
      </c>
      <c r="H52" s="24">
        <f>($E$34+$P$15/($C$52-H47)*$P$32-$E$37-$E$38)/$E$41</f>
        <v>32.969731523315</v>
      </c>
    </row>
  </sheetData>
  <mergeCells count="12">
    <mergeCell ref="C20:D20"/>
    <mergeCell ref="C32:D32"/>
    <mergeCell ref="C33:D33"/>
    <mergeCell ref="C34:D34"/>
    <mergeCell ref="C35:D35"/>
    <mergeCell ref="C36:D36"/>
    <mergeCell ref="C37:D37"/>
    <mergeCell ref="C39:D39"/>
    <mergeCell ref="C41:D41"/>
    <mergeCell ref="C42:D42"/>
    <mergeCell ref="C45:H45"/>
    <mergeCell ref="D46:H46"/>
  </mergeCells>
  <pageMargins left="0.75" right="0.75" top="1" bottom="1" header="0.5" footer="0.5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J18"/>
  <sheetViews>
    <sheetView showGridLines="0" workbookViewId="0">
      <pane xSplit="1" ySplit="2" topLeftCell="B3" activePane="bottomRight" state="frozen"/>
      <selection/>
      <selection pane="topRight"/>
      <selection pane="bottomLeft"/>
      <selection pane="bottomRight" activeCell="C15" sqref="C15"/>
    </sheetView>
  </sheetViews>
  <sheetFormatPr defaultColWidth="9" defaultRowHeight="14.25"/>
  <cols>
    <col min="2" max="2" width="37.75" style="2" customWidth="1"/>
    <col min="3" max="3" width="21.5" style="32" customWidth="1"/>
    <col min="4" max="4" width="12.75" style="32" customWidth="1"/>
    <col min="5" max="5" width="16"/>
    <col min="6" max="6" width="13.125" customWidth="1"/>
    <col min="7" max="9" width="16"/>
    <col min="10" max="10" width="1.625" customWidth="1"/>
  </cols>
  <sheetData>
    <row r="1" ht="13.5" spans="2:4">
      <c r="B1"/>
      <c r="C1"/>
      <c r="D1"/>
    </row>
    <row r="2" ht="20" customHeight="1" spans="2:9">
      <c r="B2" s="105" t="s">
        <v>22</v>
      </c>
      <c r="C2" s="106"/>
      <c r="D2" s="106"/>
      <c r="E2" s="106"/>
      <c r="F2" s="106"/>
      <c r="G2" s="106"/>
      <c r="H2" s="106"/>
      <c r="I2" s="131"/>
    </row>
    <row r="3" s="104" customFormat="1" ht="20" customHeight="1" spans="2:10">
      <c r="B3" s="107"/>
      <c r="C3" s="107"/>
      <c r="D3" s="107"/>
      <c r="E3" s="107"/>
      <c r="F3" s="107"/>
      <c r="G3" s="107"/>
      <c r="H3" s="107"/>
      <c r="I3" s="107"/>
      <c r="J3"/>
    </row>
    <row r="4" ht="20" customHeight="1" spans="2:9">
      <c r="B4" s="108" t="s">
        <v>23</v>
      </c>
      <c r="C4" s="109"/>
      <c r="D4" s="109"/>
      <c r="E4" s="110"/>
      <c r="F4" s="111"/>
      <c r="G4" s="111"/>
      <c r="H4" s="111"/>
      <c r="I4" s="111"/>
    </row>
    <row r="5" ht="20" customHeight="1" spans="2:9">
      <c r="B5" s="112" t="str">
        <f>[2]DCF估值!C20</f>
        <v>适用折现率：</v>
      </c>
      <c r="C5" s="113">
        <f>DCF估值!D21</f>
        <v>0.0967</v>
      </c>
      <c r="D5" s="111" t="str">
        <f>[2]DCF估值!C24</f>
        <v>无风险报酬率</v>
      </c>
      <c r="E5" s="114">
        <f>DCF估值!D25</f>
        <v>0.0315</v>
      </c>
      <c r="F5" s="111"/>
      <c r="G5" s="111"/>
      <c r="H5" s="111"/>
      <c r="I5" s="111"/>
    </row>
    <row r="6" ht="20" customHeight="1" spans="2:9">
      <c r="B6" s="112" t="str">
        <f>[2]DCF估值!C21</f>
        <v>永续增长率g</v>
      </c>
      <c r="C6" s="113">
        <f>DCF估值!D22</f>
        <v>0.02</v>
      </c>
      <c r="D6" s="111" t="str">
        <f>[2]DCF估值!C25</f>
        <v>风险补偿率</v>
      </c>
      <c r="E6" s="114">
        <f>DCF估值!D26</f>
        <v>0.1108</v>
      </c>
      <c r="F6" s="111"/>
      <c r="G6" s="111"/>
      <c r="H6" s="111"/>
      <c r="I6" s="111"/>
    </row>
    <row r="7" ht="20" customHeight="1" spans="2:9">
      <c r="B7" s="112" t="str">
        <f>[2]DCF估值!C22</f>
        <v>税后债务成本率</v>
      </c>
      <c r="C7" s="113">
        <f>DCF估值!D23</f>
        <v>0.0757</v>
      </c>
      <c r="D7" s="111" t="str">
        <f>[2]DCF估值!C26</f>
        <v>贝塔系数</v>
      </c>
      <c r="E7" s="114">
        <f>DCF估值!D27</f>
        <v>0.8356</v>
      </c>
      <c r="F7" s="111"/>
      <c r="G7" s="111"/>
      <c r="H7" s="111"/>
      <c r="I7" s="111"/>
    </row>
    <row r="8" ht="20" customHeight="1" spans="2:9">
      <c r="B8" s="115" t="str">
        <f>[2]DCF估值!C23</f>
        <v>股权成本率</v>
      </c>
      <c r="C8" s="116">
        <f>DCF估值!D24</f>
        <v>0.09776308</v>
      </c>
      <c r="D8" s="117" t="str">
        <f>[2]DCF估值!C27</f>
        <v>目标资本结构</v>
      </c>
      <c r="E8" s="118">
        <f>DCF估值!D28</f>
        <v>0.0491</v>
      </c>
      <c r="F8" s="111"/>
      <c r="G8" s="111"/>
      <c r="H8" s="111"/>
      <c r="I8" s="111"/>
    </row>
    <row r="9" ht="20" customHeight="1" spans="2:9">
      <c r="B9" s="111"/>
      <c r="C9" s="111"/>
      <c r="D9" s="111"/>
      <c r="E9" s="111"/>
      <c r="F9" s="111"/>
      <c r="G9" s="111"/>
      <c r="H9" s="111"/>
      <c r="I9" s="111"/>
    </row>
    <row r="10" ht="20" customHeight="1" spans="2:9">
      <c r="B10" s="111"/>
      <c r="C10" s="111"/>
      <c r="D10" s="111"/>
      <c r="E10" s="111"/>
      <c r="F10" s="111"/>
      <c r="G10" s="111"/>
      <c r="H10" s="111"/>
      <c r="I10" s="111"/>
    </row>
    <row r="11" ht="20" customHeight="1" spans="2:9">
      <c r="B11" s="108" t="s">
        <v>24</v>
      </c>
      <c r="C11" s="109"/>
      <c r="D11" s="119" t="s">
        <v>25</v>
      </c>
      <c r="E11" s="119"/>
      <c r="F11" s="119"/>
      <c r="G11" s="119"/>
      <c r="H11" s="119"/>
      <c r="I11" s="132"/>
    </row>
    <row r="12" ht="20" customHeight="1" spans="2:9">
      <c r="B12" s="120" t="s">
        <v>26</v>
      </c>
      <c r="C12" s="121">
        <f>DCF估值!E36</f>
        <v>181.545071193554</v>
      </c>
      <c r="D12" s="122" t="s">
        <v>27</v>
      </c>
      <c r="E12" s="123"/>
      <c r="F12" s="123"/>
      <c r="G12" s="123"/>
      <c r="H12" s="123"/>
      <c r="I12" s="133"/>
    </row>
    <row r="13" ht="20" customHeight="1" spans="2:10">
      <c r="B13" s="124" t="s">
        <v>28</v>
      </c>
      <c r="C13" s="125">
        <f>DCF估值!E37</f>
        <v>-23.7893245984552</v>
      </c>
      <c r="D13" s="126">
        <f>DCF估值!C47</f>
        <v>0</v>
      </c>
      <c r="E13" s="126">
        <f>DCF估值!D47</f>
        <v>0.02</v>
      </c>
      <c r="F13" s="126">
        <f>DCF估值!E47</f>
        <v>0.025</v>
      </c>
      <c r="G13" s="126">
        <f>DCF估值!F47</f>
        <v>0.03</v>
      </c>
      <c r="H13" s="126">
        <f>DCF估值!G47</f>
        <v>0.035</v>
      </c>
      <c r="I13" s="126">
        <f>DCF估值!H47</f>
        <v>0.04</v>
      </c>
      <c r="J13" s="126"/>
    </row>
    <row r="14" ht="20" customHeight="1" spans="2:9">
      <c r="B14" s="124" t="s">
        <v>29</v>
      </c>
      <c r="C14" s="125">
        <f>DCF估值!E38</f>
        <v>0</v>
      </c>
      <c r="D14" s="126">
        <f>DCF估值!C48</f>
        <v>0.085</v>
      </c>
      <c r="E14" s="127">
        <f>DCF估值!D48</f>
        <v>32.969731523315</v>
      </c>
      <c r="F14" s="127">
        <f>DCF估值!E48</f>
        <v>34.2636235322521</v>
      </c>
      <c r="G14" s="127">
        <f>DCF估值!F48</f>
        <v>35.7927686337234</v>
      </c>
      <c r="H14" s="127">
        <f>DCF估值!G48</f>
        <v>37.6277427554888</v>
      </c>
      <c r="I14" s="127">
        <f>DCF估值!H48</f>
        <v>39.8704889043133</v>
      </c>
    </row>
    <row r="15" ht="20" customHeight="1" spans="2:9">
      <c r="B15" s="124" t="s">
        <v>30</v>
      </c>
      <c r="C15" s="125">
        <f>DCF估值!E39</f>
        <v>205.334395792009</v>
      </c>
      <c r="D15" s="126">
        <f>DCF估值!C49</f>
        <v>0.09</v>
      </c>
      <c r="E15" s="127">
        <f>DCF估值!D49</f>
        <v>31.8606812299402</v>
      </c>
      <c r="F15" s="127">
        <f>DCF估值!E49</f>
        <v>32.969731523315</v>
      </c>
      <c r="G15" s="127">
        <f>DCF估值!F49</f>
        <v>34.2636235322521</v>
      </c>
      <c r="H15" s="127">
        <f>DCF估值!G49</f>
        <v>35.7927686337234</v>
      </c>
      <c r="I15" s="127">
        <f>DCF估值!H49</f>
        <v>37.6277427554888</v>
      </c>
    </row>
    <row r="16" ht="20" customHeight="1" spans="2:9">
      <c r="B16" s="124" t="s">
        <v>31</v>
      </c>
      <c r="C16" s="125">
        <f>DCF估值!E41</f>
        <v>6.71</v>
      </c>
      <c r="D16" s="126">
        <f>DCF估值!C50</f>
        <v>0.0967</v>
      </c>
      <c r="E16" s="128">
        <f>DCF估值!D50</f>
        <v>30.6012512357689</v>
      </c>
      <c r="F16" s="127">
        <f>DCF估值!E50</f>
        <v>31.5188400655946</v>
      </c>
      <c r="G16" s="127">
        <f>DCF估值!F50</f>
        <v>32.5739984351243</v>
      </c>
      <c r="H16" s="127">
        <f>DCF估值!G50</f>
        <v>33.8001711271061</v>
      </c>
      <c r="I16" s="127">
        <f>DCF估值!H50</f>
        <v>35.2426000257866</v>
      </c>
    </row>
    <row r="17" ht="20" customHeight="1" spans="2:9">
      <c r="B17" s="120" t="s">
        <v>32</v>
      </c>
      <c r="C17" s="121">
        <f>DCF估值!E42</f>
        <v>30.6012512357689</v>
      </c>
      <c r="D17" s="126">
        <f>DCF估值!C51</f>
        <v>0.1</v>
      </c>
      <c r="E17" s="127">
        <f>DCF估值!D51</f>
        <v>30.0584745032063</v>
      </c>
      <c r="F17" s="127">
        <f>DCF估值!E51</f>
        <v>30.8995043090155</v>
      </c>
      <c r="G17" s="127">
        <f>DCF估值!F51</f>
        <v>31.8606812299402</v>
      </c>
      <c r="H17" s="127">
        <f>DCF估值!G51</f>
        <v>32.969731523315</v>
      </c>
      <c r="I17" s="127">
        <f>DCF估值!H51</f>
        <v>34.2636235322521</v>
      </c>
    </row>
    <row r="18" ht="20" customHeight="1" spans="2:9">
      <c r="B18" s="129" t="s">
        <v>33</v>
      </c>
      <c r="C18" s="130">
        <v>31.03</v>
      </c>
      <c r="D18" s="126">
        <f>DCF估值!C52</f>
        <v>0.105</v>
      </c>
      <c r="E18" s="127">
        <f>DCF估值!D52</f>
        <v>29.3163893804335</v>
      </c>
      <c r="F18" s="127">
        <f>DCF估值!E52</f>
        <v>30.0584745032063</v>
      </c>
      <c r="G18" s="127">
        <f>DCF估值!F52</f>
        <v>30.8995043090155</v>
      </c>
      <c r="H18" s="127">
        <f>DCF估值!G52</f>
        <v>31.8606812299402</v>
      </c>
      <c r="I18" s="127">
        <f>DCF估值!H52</f>
        <v>32.969731523315</v>
      </c>
    </row>
  </sheetData>
  <mergeCells count="4">
    <mergeCell ref="B2:I2"/>
    <mergeCell ref="B3:I3"/>
    <mergeCell ref="F4:I8"/>
    <mergeCell ref="B9:I10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N201"/>
  <sheetViews>
    <sheetView workbookViewId="0">
      <selection activeCell="R14" sqref="R14"/>
    </sheetView>
  </sheetViews>
  <sheetFormatPr defaultColWidth="9" defaultRowHeight="14.25"/>
  <cols>
    <col min="3" max="3" width="22.2833333333333" style="29"/>
    <col min="4" max="7" width="13" style="29"/>
    <col min="8" max="8" width="10.375" style="35"/>
    <col min="9" max="9" width="11.5" style="35"/>
    <col min="10" max="13" width="12.625" style="35"/>
    <col min="14" max="14" width="11.5"/>
  </cols>
  <sheetData>
    <row r="1" ht="18.75" spans="4:13">
      <c r="D1" s="90">
        <v>2015</v>
      </c>
      <c r="E1" s="90">
        <v>2016</v>
      </c>
      <c r="F1" s="90">
        <v>2017</v>
      </c>
      <c r="G1" s="90">
        <v>2018</v>
      </c>
      <c r="H1" s="90">
        <v>2019</v>
      </c>
      <c r="I1" s="90">
        <v>2020</v>
      </c>
      <c r="J1" s="90">
        <v>2021</v>
      </c>
      <c r="K1" s="90">
        <v>2022</v>
      </c>
      <c r="L1" s="90">
        <v>2023</v>
      </c>
      <c r="M1" s="90">
        <v>2024</v>
      </c>
    </row>
    <row r="2" customFormat="1" spans="3:13">
      <c r="C2" s="29"/>
      <c r="D2" s="32"/>
      <c r="E2" s="32"/>
      <c r="F2" s="32"/>
      <c r="G2" s="32"/>
      <c r="H2" s="35"/>
      <c r="I2" s="35"/>
      <c r="J2" s="35"/>
      <c r="K2" s="35"/>
      <c r="L2" s="35"/>
      <c r="M2" s="35"/>
    </row>
    <row r="3" s="88" customFormat="1" spans="2:13">
      <c r="B3" s="91" t="s">
        <v>34</v>
      </c>
      <c r="C3" s="91"/>
      <c r="D3" s="92"/>
      <c r="E3" s="92"/>
      <c r="F3" s="92"/>
      <c r="G3" s="92"/>
      <c r="H3" s="93"/>
      <c r="I3" s="93"/>
      <c r="J3" s="93"/>
      <c r="K3" s="93"/>
      <c r="L3" s="93"/>
      <c r="M3" s="93"/>
    </row>
    <row r="4" spans="3:13">
      <c r="C4" s="32" t="s">
        <v>35</v>
      </c>
      <c r="D4" s="39">
        <v>36.12</v>
      </c>
      <c r="E4" s="39">
        <v>32.32</v>
      </c>
      <c r="F4" s="39">
        <f>25.89+14.39</f>
        <v>40.28</v>
      </c>
      <c r="G4" s="33">
        <v>45.41</v>
      </c>
      <c r="H4" s="38">
        <f t="shared" ref="H4:M4" si="0">G4*(1+H5)</f>
        <v>49.0428</v>
      </c>
      <c r="I4" s="38">
        <f t="shared" si="0"/>
        <v>53.94708</v>
      </c>
      <c r="J4" s="38">
        <f t="shared" si="0"/>
        <v>59.341788</v>
      </c>
      <c r="K4" s="38">
        <f t="shared" si="0"/>
        <v>65.2759668</v>
      </c>
      <c r="L4" s="38">
        <f t="shared" si="0"/>
        <v>71.80356348</v>
      </c>
      <c r="M4" s="38">
        <f t="shared" si="0"/>
        <v>78.983919828</v>
      </c>
    </row>
    <row r="5" spans="3:13">
      <c r="C5" s="32" t="s">
        <v>36</v>
      </c>
      <c r="D5" s="39"/>
      <c r="E5" s="94">
        <f>E4/D4-1</f>
        <v>-0.105204872646733</v>
      </c>
      <c r="F5" s="94">
        <f>F4/E4-1</f>
        <v>0.246287128712871</v>
      </c>
      <c r="G5" s="94">
        <f>G4/F4-1</f>
        <v>0.127358490566038</v>
      </c>
      <c r="H5" s="95">
        <v>0.08</v>
      </c>
      <c r="I5" s="95">
        <v>0.1</v>
      </c>
      <c r="J5" s="95">
        <v>0.1</v>
      </c>
      <c r="K5" s="95">
        <v>0.1</v>
      </c>
      <c r="L5" s="95">
        <v>0.1</v>
      </c>
      <c r="M5" s="95">
        <v>0.1</v>
      </c>
    </row>
    <row r="6" spans="3:13">
      <c r="C6" s="32" t="s">
        <v>37</v>
      </c>
      <c r="D6" s="33">
        <v>19.9</v>
      </c>
      <c r="E6" s="33">
        <v>15.78</v>
      </c>
      <c r="F6" s="33">
        <f>10.54+7.04</f>
        <v>17.58</v>
      </c>
      <c r="G6" s="33">
        <v>18.81</v>
      </c>
      <c r="H6" s="38">
        <f t="shared" ref="H6:M6" si="1">H4-H7</f>
        <v>20.352762</v>
      </c>
      <c r="I6" s="38">
        <f t="shared" si="1"/>
        <v>22.3880382</v>
      </c>
      <c r="J6" s="38">
        <f t="shared" si="1"/>
        <v>24.62684202</v>
      </c>
      <c r="K6" s="38">
        <f t="shared" si="1"/>
        <v>26.763146388</v>
      </c>
      <c r="L6" s="38">
        <f t="shared" si="1"/>
        <v>28.721425392</v>
      </c>
      <c r="M6" s="38">
        <f t="shared" si="1"/>
        <v>31.5935679312</v>
      </c>
    </row>
    <row r="7" spans="3:13">
      <c r="C7" s="32" t="s">
        <v>38</v>
      </c>
      <c r="D7" s="33">
        <v>16.22</v>
      </c>
      <c r="E7" s="33">
        <v>16.54</v>
      </c>
      <c r="F7" s="33">
        <f>15.35+7.35</f>
        <v>22.7</v>
      </c>
      <c r="G7" s="33">
        <v>26.6</v>
      </c>
      <c r="H7" s="38">
        <f t="shared" ref="H7:M7" si="2">H4*H8</f>
        <v>28.690038</v>
      </c>
      <c r="I7" s="38">
        <f t="shared" si="2"/>
        <v>31.5590418</v>
      </c>
      <c r="J7" s="38">
        <f t="shared" si="2"/>
        <v>34.71494598</v>
      </c>
      <c r="K7" s="38">
        <f t="shared" si="2"/>
        <v>38.512820412</v>
      </c>
      <c r="L7" s="38">
        <f t="shared" si="2"/>
        <v>43.082138088</v>
      </c>
      <c r="M7" s="38">
        <f t="shared" si="2"/>
        <v>47.3903518968</v>
      </c>
    </row>
    <row r="8" spans="3:13">
      <c r="C8" s="32" t="s">
        <v>39</v>
      </c>
      <c r="D8" s="33">
        <v>44.9</v>
      </c>
      <c r="E8" s="33">
        <v>51.17</v>
      </c>
      <c r="F8" s="33">
        <v>58.5</v>
      </c>
      <c r="G8" s="33">
        <v>58.58</v>
      </c>
      <c r="H8" s="96">
        <v>0.585</v>
      </c>
      <c r="I8" s="96">
        <v>0.585</v>
      </c>
      <c r="J8" s="98">
        <v>0.585</v>
      </c>
      <c r="K8" s="95">
        <v>0.59</v>
      </c>
      <c r="L8" s="95">
        <v>0.6</v>
      </c>
      <c r="M8" s="95">
        <v>0.6</v>
      </c>
    </row>
    <row r="9" spans="3:7">
      <c r="C9" s="32" t="s">
        <v>40</v>
      </c>
      <c r="D9" s="33">
        <v>61.79</v>
      </c>
      <c r="E9" s="33">
        <v>60.74</v>
      </c>
      <c r="F9" s="33">
        <f>39.9+22.18</f>
        <v>62.08</v>
      </c>
      <c r="G9" s="33">
        <v>63.62</v>
      </c>
    </row>
    <row r="10" spans="2:3">
      <c r="B10" s="7" t="s">
        <v>41</v>
      </c>
      <c r="C10" s="7"/>
    </row>
    <row r="11" spans="3:13">
      <c r="C11" s="32" t="s">
        <v>35</v>
      </c>
      <c r="D11" s="39">
        <v>21</v>
      </c>
      <c r="E11" s="39">
        <v>19.55</v>
      </c>
      <c r="F11" s="39">
        <v>22.71</v>
      </c>
      <c r="G11" s="33">
        <v>23.55</v>
      </c>
      <c r="H11" s="38">
        <f t="shared" ref="H11:M11" si="3">G11*(1+H12)</f>
        <v>25.434</v>
      </c>
      <c r="I11" s="38">
        <f t="shared" si="3"/>
        <v>28.48608</v>
      </c>
      <c r="J11" s="38">
        <f t="shared" si="3"/>
        <v>31.9044096</v>
      </c>
      <c r="K11" s="38">
        <f t="shared" si="3"/>
        <v>35.732938752</v>
      </c>
      <c r="L11" s="38">
        <f t="shared" si="3"/>
        <v>40.02089140224</v>
      </c>
      <c r="M11" s="38">
        <f t="shared" si="3"/>
        <v>44.8233983705088</v>
      </c>
    </row>
    <row r="12" spans="3:13">
      <c r="C12" s="32" t="s">
        <v>36</v>
      </c>
      <c r="D12" s="39"/>
      <c r="E12" s="94">
        <f>E11/D11-1</f>
        <v>-0.069047619047619</v>
      </c>
      <c r="F12" s="94">
        <f>F11/E11-1</f>
        <v>0.161636828644501</v>
      </c>
      <c r="G12" s="94">
        <f>G11/F11-1</f>
        <v>0.0369881109643329</v>
      </c>
      <c r="H12" s="95">
        <v>0.08</v>
      </c>
      <c r="I12" s="95">
        <v>0.12</v>
      </c>
      <c r="J12" s="95">
        <v>0.12</v>
      </c>
      <c r="K12" s="95">
        <v>0.12</v>
      </c>
      <c r="L12" s="95">
        <v>0.12</v>
      </c>
      <c r="M12" s="95">
        <v>0.12</v>
      </c>
    </row>
    <row r="13" spans="3:13">
      <c r="C13" s="32" t="s">
        <v>37</v>
      </c>
      <c r="D13" s="33">
        <v>3.43</v>
      </c>
      <c r="E13" s="33">
        <v>4.36</v>
      </c>
      <c r="F13" s="33">
        <v>4.38</v>
      </c>
      <c r="G13" s="33">
        <v>6.45</v>
      </c>
      <c r="H13" s="38">
        <f t="shared" ref="H13:M13" si="4">H11-H14</f>
        <v>7.12152</v>
      </c>
      <c r="I13" s="38">
        <f t="shared" si="4"/>
        <v>7.9761024</v>
      </c>
      <c r="J13" s="38">
        <f t="shared" si="4"/>
        <v>8.933234688</v>
      </c>
      <c r="K13" s="38">
        <f t="shared" si="4"/>
        <v>10.00522285056</v>
      </c>
      <c r="L13" s="38">
        <f t="shared" si="4"/>
        <v>10.4054317645824</v>
      </c>
      <c r="M13" s="38">
        <f t="shared" si="4"/>
        <v>11.6540835763323</v>
      </c>
    </row>
    <row r="14" spans="3:13">
      <c r="C14" s="32" t="s">
        <v>38</v>
      </c>
      <c r="D14" s="33">
        <v>17.57</v>
      </c>
      <c r="E14" s="33">
        <v>15.19</v>
      </c>
      <c r="F14" s="33">
        <v>18.32</v>
      </c>
      <c r="G14" s="33">
        <v>17.1</v>
      </c>
      <c r="H14" s="38">
        <f t="shared" ref="H14:M14" si="5">H11*H15</f>
        <v>18.31248</v>
      </c>
      <c r="I14" s="38">
        <f t="shared" si="5"/>
        <v>20.5099776</v>
      </c>
      <c r="J14" s="38">
        <f t="shared" si="5"/>
        <v>22.971174912</v>
      </c>
      <c r="K14" s="38">
        <f t="shared" si="5"/>
        <v>25.72771590144</v>
      </c>
      <c r="L14" s="38">
        <f t="shared" si="5"/>
        <v>29.6154596376576</v>
      </c>
      <c r="M14" s="38">
        <f t="shared" si="5"/>
        <v>33.1693147941765</v>
      </c>
    </row>
    <row r="15" spans="3:13">
      <c r="C15" s="32" t="s">
        <v>39</v>
      </c>
      <c r="D15" s="33">
        <v>83.67</v>
      </c>
      <c r="E15" s="33">
        <v>77.7</v>
      </c>
      <c r="F15" s="33">
        <v>80.69</v>
      </c>
      <c r="G15" s="33">
        <v>72.62</v>
      </c>
      <c r="H15" s="95">
        <v>0.72</v>
      </c>
      <c r="I15" s="95">
        <v>0.72</v>
      </c>
      <c r="J15" s="95">
        <v>0.72</v>
      </c>
      <c r="K15" s="95">
        <v>0.72</v>
      </c>
      <c r="L15" s="95">
        <v>0.74</v>
      </c>
      <c r="M15" s="95">
        <v>0.74</v>
      </c>
    </row>
    <row r="16" spans="3:7">
      <c r="C16" s="32" t="s">
        <v>40</v>
      </c>
      <c r="D16" s="33">
        <v>35.92</v>
      </c>
      <c r="E16" s="33">
        <v>36.74</v>
      </c>
      <c r="F16" s="33">
        <v>35</v>
      </c>
      <c r="G16" s="33">
        <v>32.99</v>
      </c>
    </row>
    <row r="17" spans="2:3">
      <c r="B17" s="7" t="s">
        <v>42</v>
      </c>
      <c r="C17" s="7"/>
    </row>
    <row r="18" spans="3:13">
      <c r="C18" s="97" t="s">
        <v>35</v>
      </c>
      <c r="D18" s="39">
        <v>0.73</v>
      </c>
      <c r="E18" s="39">
        <v>0.95</v>
      </c>
      <c r="F18" s="39">
        <v>1.65</v>
      </c>
      <c r="G18" s="39">
        <v>2.33</v>
      </c>
      <c r="H18" s="38">
        <f t="shared" ref="H18:M18" si="6">G18*(1+H19)</f>
        <v>2.9125</v>
      </c>
      <c r="I18" s="38">
        <f t="shared" si="6"/>
        <v>3.349375</v>
      </c>
      <c r="J18" s="38">
        <f t="shared" si="6"/>
        <v>4.18671875</v>
      </c>
      <c r="K18" s="38">
        <f t="shared" si="6"/>
        <v>5.0240625</v>
      </c>
      <c r="L18" s="38">
        <f t="shared" si="6"/>
        <v>6.028875</v>
      </c>
      <c r="M18" s="38">
        <f t="shared" si="6"/>
        <v>7.23465</v>
      </c>
    </row>
    <row r="19" spans="3:13">
      <c r="C19" s="97" t="s">
        <v>36</v>
      </c>
      <c r="D19" s="39"/>
      <c r="E19" s="94">
        <f>E18/D18-1</f>
        <v>0.301369863013699</v>
      </c>
      <c r="F19" s="94">
        <f>F18/E18-1</f>
        <v>0.736842105263158</v>
      </c>
      <c r="G19" s="94">
        <f>G18/F18-1</f>
        <v>0.412121212121212</v>
      </c>
      <c r="H19" s="95">
        <v>0.25</v>
      </c>
      <c r="I19" s="95">
        <v>0.15</v>
      </c>
      <c r="J19" s="95">
        <v>0.25</v>
      </c>
      <c r="K19" s="95">
        <v>0.2</v>
      </c>
      <c r="L19" s="95">
        <v>0.2</v>
      </c>
      <c r="M19" s="95">
        <v>0.2</v>
      </c>
    </row>
    <row r="20" spans="3:13">
      <c r="C20" s="32" t="s">
        <v>37</v>
      </c>
      <c r="D20" s="33">
        <v>0.28</v>
      </c>
      <c r="E20" s="33">
        <v>0.38</v>
      </c>
      <c r="F20" s="33">
        <v>0.77</v>
      </c>
      <c r="G20" s="33">
        <v>1.24</v>
      </c>
      <c r="H20" s="38">
        <f t="shared" ref="H20:M20" si="7">H18-H21</f>
        <v>1.68925</v>
      </c>
      <c r="I20" s="38">
        <f t="shared" si="7"/>
        <v>1.9426375</v>
      </c>
      <c r="J20" s="38">
        <f t="shared" si="7"/>
        <v>2.428296875</v>
      </c>
      <c r="K20" s="38">
        <f t="shared" si="7"/>
        <v>2.91395625</v>
      </c>
      <c r="L20" s="38">
        <f t="shared" si="7"/>
        <v>3.4967475</v>
      </c>
      <c r="M20" s="38">
        <f t="shared" si="7"/>
        <v>4.196097</v>
      </c>
    </row>
    <row r="21" spans="3:13">
      <c r="C21" s="32" t="s">
        <v>38</v>
      </c>
      <c r="D21" s="33">
        <v>0.45</v>
      </c>
      <c r="E21" s="33">
        <v>0.56</v>
      </c>
      <c r="F21" s="33">
        <v>0.89</v>
      </c>
      <c r="G21" s="33">
        <v>1.09</v>
      </c>
      <c r="H21" s="38">
        <f t="shared" ref="H21:M21" si="8">H18*H22</f>
        <v>1.22325</v>
      </c>
      <c r="I21" s="38">
        <f t="shared" si="8"/>
        <v>1.4067375</v>
      </c>
      <c r="J21" s="38">
        <f t="shared" si="8"/>
        <v>1.758421875</v>
      </c>
      <c r="K21" s="38">
        <f t="shared" si="8"/>
        <v>2.11010625</v>
      </c>
      <c r="L21" s="38">
        <f t="shared" si="8"/>
        <v>2.5321275</v>
      </c>
      <c r="M21" s="38">
        <f t="shared" si="8"/>
        <v>3.038553</v>
      </c>
    </row>
    <row r="22" spans="3:13">
      <c r="C22" s="32" t="s">
        <v>39</v>
      </c>
      <c r="D22" s="33">
        <v>61.93</v>
      </c>
      <c r="E22" s="33">
        <v>59.57</v>
      </c>
      <c r="F22" s="33">
        <v>53.55</v>
      </c>
      <c r="G22" s="33">
        <v>46.62</v>
      </c>
      <c r="H22" s="98">
        <v>0.42</v>
      </c>
      <c r="I22" s="95">
        <v>0.42</v>
      </c>
      <c r="J22" s="102">
        <v>0.42</v>
      </c>
      <c r="K22" s="103">
        <f>J22</f>
        <v>0.42</v>
      </c>
      <c r="L22" s="103">
        <f>K22</f>
        <v>0.42</v>
      </c>
      <c r="M22" s="103">
        <f>L22</f>
        <v>0.42</v>
      </c>
    </row>
    <row r="23" s="89" customFormat="1" spans="3:13">
      <c r="C23" s="99" t="s">
        <v>40</v>
      </c>
      <c r="D23" s="100">
        <v>1.25</v>
      </c>
      <c r="E23" s="100">
        <v>1.78</v>
      </c>
      <c r="F23" s="100">
        <v>2.55</v>
      </c>
      <c r="G23" s="100">
        <v>3.27</v>
      </c>
      <c r="H23" s="101"/>
      <c r="I23" s="101"/>
      <c r="J23" s="101"/>
      <c r="K23" s="101"/>
      <c r="L23" s="101"/>
      <c r="M23" s="101"/>
    </row>
    <row r="24" spans="2:3">
      <c r="B24" s="7" t="s">
        <v>43</v>
      </c>
      <c r="C24" s="7"/>
    </row>
    <row r="25" spans="3:14">
      <c r="C25" s="32" t="s">
        <v>35</v>
      </c>
      <c r="D25" s="33">
        <v>0.21</v>
      </c>
      <c r="E25" s="33">
        <v>0.01</v>
      </c>
      <c r="F25" s="33">
        <v>0.01</v>
      </c>
      <c r="G25" s="33">
        <v>0.09</v>
      </c>
      <c r="H25" s="38">
        <f>G25*(1+H26)</f>
        <v>0.099</v>
      </c>
      <c r="I25" s="38">
        <f t="shared" ref="I25:N25" si="9">H25*(1+I26)</f>
        <v>0.1089</v>
      </c>
      <c r="J25" s="38">
        <f t="shared" si="9"/>
        <v>0.11979</v>
      </c>
      <c r="K25" s="38">
        <f t="shared" si="9"/>
        <v>0.131769</v>
      </c>
      <c r="L25" s="38">
        <f t="shared" si="9"/>
        <v>0.1449459</v>
      </c>
      <c r="M25" s="38">
        <f t="shared" si="9"/>
        <v>0.15944049</v>
      </c>
      <c r="N25" s="35"/>
    </row>
    <row r="26" spans="3:13">
      <c r="C26" s="32" t="s">
        <v>36</v>
      </c>
      <c r="D26" s="33"/>
      <c r="E26" s="33"/>
      <c r="F26" s="33"/>
      <c r="G26" s="33"/>
      <c r="H26" s="95">
        <v>0.1</v>
      </c>
      <c r="I26" s="103">
        <f>H26</f>
        <v>0.1</v>
      </c>
      <c r="J26" s="103">
        <f>I26</f>
        <v>0.1</v>
      </c>
      <c r="K26" s="103">
        <f>J26</f>
        <v>0.1</v>
      </c>
      <c r="L26" s="103">
        <f>K26</f>
        <v>0.1</v>
      </c>
      <c r="M26" s="103">
        <f>L26</f>
        <v>0.1</v>
      </c>
    </row>
    <row r="27" spans="3:13">
      <c r="C27" s="32" t="s">
        <v>37</v>
      </c>
      <c r="D27" s="33">
        <v>0.16</v>
      </c>
      <c r="E27" s="33">
        <v>0</v>
      </c>
      <c r="F27" s="33">
        <v>0.01</v>
      </c>
      <c r="G27" s="33">
        <v>0.06</v>
      </c>
      <c r="H27" s="38">
        <f t="shared" ref="H27:M27" si="10">H25-H28</f>
        <v>0.06336</v>
      </c>
      <c r="I27" s="38">
        <f t="shared" si="10"/>
        <v>0.069696</v>
      </c>
      <c r="J27" s="38">
        <f t="shared" si="10"/>
        <v>0.0766656</v>
      </c>
      <c r="K27" s="38">
        <f t="shared" si="10"/>
        <v>0.08433216</v>
      </c>
      <c r="L27" s="38">
        <f t="shared" si="10"/>
        <v>0.092765376</v>
      </c>
      <c r="M27" s="38">
        <f t="shared" si="10"/>
        <v>0.1020419136</v>
      </c>
    </row>
    <row r="28" spans="3:13">
      <c r="C28" s="32" t="s">
        <v>38</v>
      </c>
      <c r="D28" s="33">
        <v>0.05</v>
      </c>
      <c r="E28" s="33">
        <v>0.01</v>
      </c>
      <c r="F28" s="33">
        <v>0</v>
      </c>
      <c r="G28" s="33">
        <v>0.03</v>
      </c>
      <c r="H28" s="38">
        <f t="shared" ref="H28:M28" si="11">H25*H29</f>
        <v>0.03564</v>
      </c>
      <c r="I28" s="38">
        <f t="shared" si="11"/>
        <v>0.039204</v>
      </c>
      <c r="J28" s="38">
        <f t="shared" si="11"/>
        <v>0.0431244</v>
      </c>
      <c r="K28" s="38">
        <f t="shared" si="11"/>
        <v>0.04743684</v>
      </c>
      <c r="L28" s="38">
        <f t="shared" si="11"/>
        <v>0.052180524</v>
      </c>
      <c r="M28" s="38">
        <f t="shared" si="11"/>
        <v>0.0573985764</v>
      </c>
    </row>
    <row r="29" spans="3:13">
      <c r="C29" s="32" t="s">
        <v>39</v>
      </c>
      <c r="D29" s="33">
        <v>24.92</v>
      </c>
      <c r="E29" s="33">
        <v>57.83</v>
      </c>
      <c r="F29" s="33">
        <v>36.49</v>
      </c>
      <c r="G29" s="33">
        <v>35.99</v>
      </c>
      <c r="H29" s="95">
        <v>0.36</v>
      </c>
      <c r="I29" s="103">
        <f>H29</f>
        <v>0.36</v>
      </c>
      <c r="J29" s="103">
        <f>I29</f>
        <v>0.36</v>
      </c>
      <c r="K29" s="103">
        <f>J29</f>
        <v>0.36</v>
      </c>
      <c r="L29" s="103">
        <f>K29</f>
        <v>0.36</v>
      </c>
      <c r="M29" s="103">
        <f>L29</f>
        <v>0.36</v>
      </c>
    </row>
    <row r="30" spans="3:7">
      <c r="C30" s="32" t="s">
        <v>40</v>
      </c>
      <c r="D30" s="33">
        <v>0.36</v>
      </c>
      <c r="E30" s="33">
        <v>0.02</v>
      </c>
      <c r="F30" s="33">
        <v>0.02</v>
      </c>
      <c r="G30" s="33">
        <v>0.12</v>
      </c>
    </row>
    <row r="31" spans="3:3">
      <c r="C31" s="32"/>
    </row>
    <row r="32" spans="3:13">
      <c r="C32" s="32" t="s">
        <v>44</v>
      </c>
      <c r="D32" s="33">
        <f>D4+D11+D18+D25</f>
        <v>58.06</v>
      </c>
      <c r="E32" s="33">
        <f t="shared" ref="E32:M32" si="12">E4+E11+E18+E25</f>
        <v>52.83</v>
      </c>
      <c r="F32" s="33">
        <f t="shared" si="12"/>
        <v>64.65</v>
      </c>
      <c r="G32" s="33">
        <f t="shared" si="12"/>
        <v>71.38</v>
      </c>
      <c r="H32" s="33">
        <f t="shared" si="12"/>
        <v>77.4883</v>
      </c>
      <c r="I32" s="33">
        <f t="shared" si="12"/>
        <v>85.891435</v>
      </c>
      <c r="J32" s="33">
        <f t="shared" si="12"/>
        <v>95.55270635</v>
      </c>
      <c r="K32" s="33">
        <f t="shared" si="12"/>
        <v>106.164737052</v>
      </c>
      <c r="L32" s="33">
        <f t="shared" si="12"/>
        <v>117.99827578224</v>
      </c>
      <c r="M32" s="33">
        <f t="shared" si="12"/>
        <v>131.201408688509</v>
      </c>
    </row>
    <row r="33" spans="3:13">
      <c r="C33" s="32" t="s">
        <v>45</v>
      </c>
      <c r="D33" s="33"/>
      <c r="E33" s="67">
        <f>E32/D32-1</f>
        <v>-0.0900792283844297</v>
      </c>
      <c r="F33" s="67">
        <f t="shared" ref="F33:M33" si="13">F32/E32-1</f>
        <v>0.22373651334469</v>
      </c>
      <c r="G33" s="67">
        <f t="shared" si="13"/>
        <v>0.104098994586233</v>
      </c>
      <c r="H33" s="67">
        <f t="shared" si="13"/>
        <v>0.0855743905855981</v>
      </c>
      <c r="I33" s="67">
        <f t="shared" si="13"/>
        <v>0.108443919920814</v>
      </c>
      <c r="J33" s="67">
        <f t="shared" si="13"/>
        <v>0.112482360435589</v>
      </c>
      <c r="K33" s="67">
        <f t="shared" si="13"/>
        <v>0.111059446742714</v>
      </c>
      <c r="L33" s="67">
        <f t="shared" si="13"/>
        <v>0.111463929161751</v>
      </c>
      <c r="M33" s="67">
        <f t="shared" si="13"/>
        <v>0.111892591809007</v>
      </c>
    </row>
    <row r="34" spans="3:13">
      <c r="C34" s="32" t="s">
        <v>46</v>
      </c>
      <c r="D34" s="33">
        <f>D6+D13+D20+D27</f>
        <v>23.77</v>
      </c>
      <c r="E34" s="33">
        <f t="shared" ref="E34:M34" si="14">E6+E13+E20+E27</f>
        <v>20.52</v>
      </c>
      <c r="F34" s="33">
        <f t="shared" si="14"/>
        <v>22.74</v>
      </c>
      <c r="G34" s="33">
        <f t="shared" si="14"/>
        <v>26.56</v>
      </c>
      <c r="H34" s="33">
        <f t="shared" si="14"/>
        <v>29.226892</v>
      </c>
      <c r="I34" s="33">
        <f t="shared" si="14"/>
        <v>32.3764741</v>
      </c>
      <c r="J34" s="33">
        <f t="shared" si="14"/>
        <v>36.065039183</v>
      </c>
      <c r="K34" s="33">
        <f t="shared" si="14"/>
        <v>39.76665764856</v>
      </c>
      <c r="L34" s="33">
        <f t="shared" si="14"/>
        <v>42.7163700325824</v>
      </c>
      <c r="M34" s="33">
        <f t="shared" si="14"/>
        <v>47.5457904211323</v>
      </c>
    </row>
    <row r="35" spans="3:13">
      <c r="C35" s="32" t="s">
        <v>45</v>
      </c>
      <c r="D35" s="33"/>
      <c r="E35" s="67">
        <f>E34/D34-1</f>
        <v>-0.13672696676483</v>
      </c>
      <c r="F35" s="67">
        <f t="shared" ref="F35:M35" si="15">F34/E34-1</f>
        <v>0.108187134502924</v>
      </c>
      <c r="G35" s="67">
        <f t="shared" si="15"/>
        <v>0.167985927880387</v>
      </c>
      <c r="H35" s="67">
        <f t="shared" si="15"/>
        <v>0.100410090361446</v>
      </c>
      <c r="I35" s="67">
        <f t="shared" si="15"/>
        <v>0.107763155247571</v>
      </c>
      <c r="J35" s="67">
        <f t="shared" si="15"/>
        <v>0.113927324871982</v>
      </c>
      <c r="K35" s="67">
        <f t="shared" si="15"/>
        <v>0.102637306084083</v>
      </c>
      <c r="L35" s="67">
        <f t="shared" si="15"/>
        <v>0.0741755168385196</v>
      </c>
      <c r="M35" s="67">
        <f t="shared" si="15"/>
        <v>0.113057836723162</v>
      </c>
    </row>
    <row r="36" spans="3:13">
      <c r="C36" s="32" t="s">
        <v>38</v>
      </c>
      <c r="D36" s="33">
        <f>D7+D14+D21+D28</f>
        <v>34.29</v>
      </c>
      <c r="E36" s="33">
        <f t="shared" ref="E36:M36" si="16">E7+E14+E21+E28</f>
        <v>32.3</v>
      </c>
      <c r="F36" s="33">
        <f t="shared" si="16"/>
        <v>41.91</v>
      </c>
      <c r="G36" s="33">
        <f t="shared" si="16"/>
        <v>44.82</v>
      </c>
      <c r="H36" s="33">
        <f t="shared" si="16"/>
        <v>48.261408</v>
      </c>
      <c r="I36" s="33">
        <f t="shared" si="16"/>
        <v>53.5149609</v>
      </c>
      <c r="J36" s="33">
        <f t="shared" si="16"/>
        <v>59.487667167</v>
      </c>
      <c r="K36" s="33">
        <f t="shared" si="16"/>
        <v>66.39807940344</v>
      </c>
      <c r="L36" s="33">
        <f t="shared" si="16"/>
        <v>75.2819057496576</v>
      </c>
      <c r="M36" s="33">
        <f t="shared" si="16"/>
        <v>83.6556182673765</v>
      </c>
    </row>
    <row r="37" spans="3:3">
      <c r="C37" s="32"/>
    </row>
    <row r="38" spans="3:7">
      <c r="C38" s="32"/>
      <c r="D38" s="33"/>
      <c r="E38" s="33"/>
      <c r="F38" s="33"/>
      <c r="G38" s="33"/>
    </row>
    <row r="39" spans="3:7">
      <c r="C39" s="32"/>
      <c r="D39" s="33"/>
      <c r="E39" s="33"/>
      <c r="F39" s="33"/>
      <c r="G39" s="33"/>
    </row>
    <row r="40" spans="3:7">
      <c r="C40" s="32"/>
      <c r="D40" s="33"/>
      <c r="E40" s="33"/>
      <c r="F40" s="33"/>
      <c r="G40" s="33"/>
    </row>
    <row r="41" spans="3:7">
      <c r="C41" s="32"/>
      <c r="D41" s="33"/>
      <c r="E41" s="33"/>
      <c r="F41" s="33"/>
      <c r="G41" s="33"/>
    </row>
    <row r="42" spans="3:7">
      <c r="C42" s="32"/>
      <c r="D42" s="33"/>
      <c r="E42" s="33"/>
      <c r="F42" s="33"/>
      <c r="G42" s="33"/>
    </row>
    <row r="43" spans="3:7">
      <c r="C43" s="32"/>
      <c r="D43" s="33"/>
      <c r="E43" s="33"/>
      <c r="F43" s="33"/>
      <c r="G43" s="33"/>
    </row>
    <row r="44" spans="3:7">
      <c r="C44" s="32"/>
      <c r="D44" s="33"/>
      <c r="E44" s="33"/>
      <c r="F44" s="33"/>
      <c r="G44" s="33"/>
    </row>
    <row r="45" spans="3:7">
      <c r="C45" s="32"/>
      <c r="D45" s="33"/>
      <c r="E45" s="33"/>
      <c r="F45" s="33"/>
      <c r="G45" s="33"/>
    </row>
    <row r="46" spans="3:7">
      <c r="C46" s="32"/>
      <c r="D46" s="33"/>
      <c r="E46" s="33"/>
      <c r="F46" s="33"/>
      <c r="G46" s="33"/>
    </row>
    <row r="47" spans="3:7">
      <c r="C47" s="32"/>
      <c r="D47" s="33"/>
      <c r="E47" s="33"/>
      <c r="F47" s="33"/>
      <c r="G47" s="33"/>
    </row>
    <row r="48" spans="3:7">
      <c r="C48" s="32"/>
      <c r="D48" s="33"/>
      <c r="E48" s="33"/>
      <c r="F48" s="33"/>
      <c r="G48" s="33"/>
    </row>
    <row r="49" spans="3:3">
      <c r="C49" s="32" t="s">
        <v>47</v>
      </c>
    </row>
    <row r="50" spans="3:7">
      <c r="C50" s="32" t="s">
        <v>35</v>
      </c>
      <c r="D50" s="33">
        <v>22.29</v>
      </c>
      <c r="E50" s="33">
        <v>20.7</v>
      </c>
      <c r="F50" s="33">
        <v>17.45</v>
      </c>
      <c r="G50" s="33">
        <v>19.17</v>
      </c>
    </row>
    <row r="51" spans="3:7">
      <c r="C51" s="32" t="s">
        <v>37</v>
      </c>
      <c r="D51" s="33">
        <v>9.94</v>
      </c>
      <c r="E51" s="33">
        <v>9.01</v>
      </c>
      <c r="F51" s="33">
        <v>5.78</v>
      </c>
      <c r="G51" s="33">
        <v>6.74</v>
      </c>
    </row>
    <row r="52" spans="3:7">
      <c r="C52" s="32" t="s">
        <v>38</v>
      </c>
      <c r="D52" s="33">
        <v>12.35</v>
      </c>
      <c r="E52" s="33">
        <v>11.69</v>
      </c>
      <c r="F52" s="33">
        <v>11.67</v>
      </c>
      <c r="G52" s="33">
        <v>12.43</v>
      </c>
    </row>
    <row r="53" spans="3:7">
      <c r="C53" s="32" t="s">
        <v>39</v>
      </c>
      <c r="D53" s="33">
        <v>55.4</v>
      </c>
      <c r="E53" s="33">
        <v>56.48</v>
      </c>
      <c r="F53" s="33">
        <v>66.9</v>
      </c>
      <c r="G53" s="33">
        <v>64.84</v>
      </c>
    </row>
    <row r="54" spans="3:7">
      <c r="C54" s="32" t="s">
        <v>40</v>
      </c>
      <c r="D54" s="33">
        <v>38.13</v>
      </c>
      <c r="E54" s="33">
        <v>38.91</v>
      </c>
      <c r="F54" s="33">
        <v>26.89</v>
      </c>
      <c r="G54" s="33">
        <v>26.85</v>
      </c>
    </row>
    <row r="55" spans="3:3">
      <c r="C55" s="32"/>
    </row>
    <row r="56" spans="3:7">
      <c r="C56" s="32"/>
      <c r="D56" s="33"/>
      <c r="E56" s="33"/>
      <c r="F56" s="33"/>
      <c r="G56" s="33"/>
    </row>
    <row r="57" spans="3:7">
      <c r="C57" s="32"/>
      <c r="D57" s="33"/>
      <c r="E57" s="33"/>
      <c r="F57" s="33"/>
      <c r="G57" s="33"/>
    </row>
    <row r="58" spans="3:7">
      <c r="C58" s="32"/>
      <c r="D58" s="33"/>
      <c r="E58" s="33"/>
      <c r="F58" s="33"/>
      <c r="G58" s="33"/>
    </row>
    <row r="59" spans="3:7">
      <c r="C59" s="32"/>
      <c r="D59" s="33"/>
      <c r="E59" s="33"/>
      <c r="F59" s="33"/>
      <c r="G59" s="33"/>
    </row>
    <row r="60" spans="3:7">
      <c r="C60" s="32"/>
      <c r="D60" s="33"/>
      <c r="E60" s="33"/>
      <c r="F60" s="33"/>
      <c r="G60" s="33"/>
    </row>
    <row r="61" spans="3:3">
      <c r="C61" s="32"/>
    </row>
    <row r="62" spans="3:7">
      <c r="C62" s="32"/>
      <c r="D62" s="33"/>
      <c r="E62" s="33"/>
      <c r="F62" s="33"/>
      <c r="G62" s="33"/>
    </row>
    <row r="63" spans="3:7">
      <c r="C63" s="32"/>
      <c r="D63" s="33"/>
      <c r="E63" s="33"/>
      <c r="F63" s="33"/>
      <c r="G63" s="33"/>
    </row>
    <row r="64" spans="3:7">
      <c r="C64" s="32"/>
      <c r="D64" s="33"/>
      <c r="E64" s="33"/>
      <c r="F64" s="33"/>
      <c r="G64" s="33"/>
    </row>
    <row r="65" spans="3:7">
      <c r="C65" s="32"/>
      <c r="D65" s="33"/>
      <c r="E65" s="33"/>
      <c r="F65" s="33"/>
      <c r="G65" s="33"/>
    </row>
    <row r="66" spans="3:7">
      <c r="C66" s="32"/>
      <c r="D66" s="33"/>
      <c r="E66" s="33"/>
      <c r="F66" s="33"/>
      <c r="G66" s="33"/>
    </row>
    <row r="67" spans="3:3">
      <c r="C67" s="32"/>
    </row>
    <row r="68" spans="3:7">
      <c r="C68" s="32"/>
      <c r="D68" s="33"/>
      <c r="E68" s="33"/>
      <c r="F68" s="33"/>
      <c r="G68" s="33"/>
    </row>
    <row r="69" spans="3:7">
      <c r="C69" s="32"/>
      <c r="D69" s="33"/>
      <c r="E69" s="33"/>
      <c r="F69" s="33"/>
      <c r="G69" s="33"/>
    </row>
    <row r="70" spans="3:7">
      <c r="C70" s="32"/>
      <c r="D70" s="33"/>
      <c r="E70" s="33"/>
      <c r="F70" s="33"/>
      <c r="G70" s="33"/>
    </row>
    <row r="71" spans="3:7">
      <c r="C71" s="32"/>
      <c r="D71" s="33"/>
      <c r="E71" s="33"/>
      <c r="F71" s="33"/>
      <c r="G71" s="33"/>
    </row>
    <row r="72" spans="3:7">
      <c r="C72" s="32"/>
      <c r="D72" s="33"/>
      <c r="E72" s="33"/>
      <c r="F72" s="33"/>
      <c r="G72" s="33"/>
    </row>
    <row r="73" spans="3:3">
      <c r="C73" s="32"/>
    </row>
    <row r="74" spans="3:7">
      <c r="C74" s="32"/>
      <c r="D74" s="33"/>
      <c r="E74" s="33"/>
      <c r="F74" s="33"/>
      <c r="G74" s="33"/>
    </row>
    <row r="75" spans="3:7">
      <c r="C75" s="32"/>
      <c r="D75" s="33"/>
      <c r="E75" s="33"/>
      <c r="F75" s="33"/>
      <c r="G75" s="33"/>
    </row>
    <row r="76" spans="3:7">
      <c r="C76" s="32"/>
      <c r="D76" s="33"/>
      <c r="E76" s="33"/>
      <c r="F76" s="33"/>
      <c r="G76" s="33"/>
    </row>
    <row r="77" spans="3:7">
      <c r="C77" s="32"/>
      <c r="D77" s="33"/>
      <c r="E77" s="33"/>
      <c r="F77" s="33"/>
      <c r="G77" s="33"/>
    </row>
    <row r="78" spans="3:7">
      <c r="C78" s="32"/>
      <c r="D78" s="33"/>
      <c r="E78" s="33"/>
      <c r="F78" s="33"/>
      <c r="G78" s="33"/>
    </row>
    <row r="79" spans="3:3">
      <c r="C79" s="32"/>
    </row>
    <row r="80" spans="3:7">
      <c r="C80" s="32"/>
      <c r="D80" s="33"/>
      <c r="E80" s="33"/>
      <c r="F80" s="33"/>
      <c r="G80" s="33"/>
    </row>
    <row r="81" spans="3:7">
      <c r="C81" s="32"/>
      <c r="D81" s="33"/>
      <c r="E81" s="33"/>
      <c r="F81" s="33"/>
      <c r="G81" s="33"/>
    </row>
    <row r="82" spans="3:7">
      <c r="C82" s="32"/>
      <c r="D82" s="33"/>
      <c r="E82" s="33"/>
      <c r="F82" s="33"/>
      <c r="G82" s="33"/>
    </row>
    <row r="83" spans="3:7">
      <c r="C83" s="32"/>
      <c r="D83" s="33"/>
      <c r="E83" s="33"/>
      <c r="F83" s="33"/>
      <c r="G83" s="33"/>
    </row>
    <row r="84" spans="3:7">
      <c r="C84" s="32"/>
      <c r="D84" s="33"/>
      <c r="E84" s="33"/>
      <c r="F84" s="33"/>
      <c r="G84" s="33"/>
    </row>
    <row r="85" spans="3:3">
      <c r="C85" s="32"/>
    </row>
    <row r="86" spans="3:7">
      <c r="C86" s="32"/>
      <c r="D86" s="33"/>
      <c r="E86" s="33"/>
      <c r="F86" s="33"/>
      <c r="G86" s="33"/>
    </row>
    <row r="87" spans="3:7">
      <c r="C87" s="32"/>
      <c r="D87" s="33"/>
      <c r="E87" s="33"/>
      <c r="F87" s="33"/>
      <c r="G87" s="33"/>
    </row>
    <row r="88" spans="3:7">
      <c r="C88" s="32"/>
      <c r="D88" s="33"/>
      <c r="E88" s="33"/>
      <c r="F88" s="33"/>
      <c r="G88" s="33"/>
    </row>
    <row r="89" spans="3:7">
      <c r="C89" s="32"/>
      <c r="D89" s="33"/>
      <c r="E89" s="33"/>
      <c r="F89" s="33"/>
      <c r="G89" s="33"/>
    </row>
    <row r="90" spans="3:7">
      <c r="C90" s="32"/>
      <c r="D90" s="33"/>
      <c r="E90" s="33"/>
      <c r="F90" s="33"/>
      <c r="G90" s="33"/>
    </row>
    <row r="91" spans="3:3">
      <c r="C91" s="32"/>
    </row>
    <row r="92" spans="3:7">
      <c r="C92" s="32"/>
      <c r="D92" s="33"/>
      <c r="E92" s="33"/>
      <c r="F92" s="33"/>
      <c r="G92" s="33"/>
    </row>
    <row r="93" spans="3:7">
      <c r="C93" s="32"/>
      <c r="D93" s="33"/>
      <c r="E93" s="33"/>
      <c r="F93" s="33"/>
      <c r="G93" s="33"/>
    </row>
    <row r="94" spans="3:7">
      <c r="C94" s="32"/>
      <c r="D94" s="33"/>
      <c r="E94" s="33"/>
      <c r="F94" s="33"/>
      <c r="G94" s="33"/>
    </row>
    <row r="95" spans="3:7">
      <c r="C95" s="32"/>
      <c r="D95" s="33"/>
      <c r="E95" s="33"/>
      <c r="F95" s="33"/>
      <c r="G95" s="33"/>
    </row>
    <row r="96" spans="3:7">
      <c r="C96" s="32"/>
      <c r="D96" s="33"/>
      <c r="E96" s="33"/>
      <c r="F96" s="33"/>
      <c r="G96" s="33"/>
    </row>
    <row r="97" spans="3:3">
      <c r="C97" s="32"/>
    </row>
    <row r="98" spans="3:7">
      <c r="C98" s="32"/>
      <c r="D98" s="33"/>
      <c r="E98" s="33"/>
      <c r="F98" s="33"/>
      <c r="G98" s="33"/>
    </row>
    <row r="99" spans="3:7">
      <c r="C99" s="32"/>
      <c r="D99" s="33"/>
      <c r="E99" s="33"/>
      <c r="F99" s="33"/>
      <c r="G99" s="33"/>
    </row>
    <row r="100" spans="3:7">
      <c r="C100" s="32"/>
      <c r="D100" s="33"/>
      <c r="E100" s="33"/>
      <c r="F100" s="33"/>
      <c r="G100" s="33"/>
    </row>
    <row r="101" spans="3:7">
      <c r="C101" s="32"/>
      <c r="D101" s="33"/>
      <c r="E101" s="33"/>
      <c r="F101" s="33"/>
      <c r="G101" s="33"/>
    </row>
    <row r="102" spans="3:7">
      <c r="C102" s="32"/>
      <c r="D102" s="33"/>
      <c r="E102" s="33"/>
      <c r="F102" s="33"/>
      <c r="G102" s="33"/>
    </row>
    <row r="103" spans="3:3">
      <c r="C103" s="32"/>
    </row>
    <row r="104" spans="3:7">
      <c r="C104" s="32"/>
      <c r="D104" s="33"/>
      <c r="E104" s="33"/>
      <c r="F104" s="33"/>
      <c r="G104" s="33"/>
    </row>
    <row r="105" spans="3:7">
      <c r="C105" s="32"/>
      <c r="D105" s="33"/>
      <c r="E105" s="33"/>
      <c r="F105" s="33"/>
      <c r="G105" s="33"/>
    </row>
    <row r="106" spans="3:7">
      <c r="C106" s="32"/>
      <c r="D106" s="33"/>
      <c r="E106" s="33"/>
      <c r="F106" s="33"/>
      <c r="G106" s="33"/>
    </row>
    <row r="107" spans="3:7">
      <c r="C107" s="32"/>
      <c r="D107" s="33"/>
      <c r="E107" s="33"/>
      <c r="F107" s="33"/>
      <c r="G107" s="33"/>
    </row>
    <row r="108" spans="3:7">
      <c r="C108" s="32"/>
      <c r="D108" s="33"/>
      <c r="E108" s="33"/>
      <c r="F108" s="33"/>
      <c r="G108" s="33"/>
    </row>
    <row r="109" spans="3:3">
      <c r="C109" s="32"/>
    </row>
    <row r="110" spans="3:7">
      <c r="C110" s="32"/>
      <c r="D110" s="33"/>
      <c r="E110" s="33"/>
      <c r="F110" s="33"/>
      <c r="G110" s="33"/>
    </row>
    <row r="111" spans="3:7">
      <c r="C111" s="32"/>
      <c r="D111" s="33"/>
      <c r="E111" s="33"/>
      <c r="F111" s="33"/>
      <c r="G111" s="33"/>
    </row>
    <row r="112" spans="3:7">
      <c r="C112" s="32"/>
      <c r="D112" s="33"/>
      <c r="E112" s="33"/>
      <c r="F112" s="33"/>
      <c r="G112" s="33"/>
    </row>
    <row r="113" spans="3:7">
      <c r="C113" s="32"/>
      <c r="D113" s="33"/>
      <c r="E113" s="33"/>
      <c r="F113" s="33"/>
      <c r="G113" s="33"/>
    </row>
    <row r="114" spans="3:7">
      <c r="C114" s="32"/>
      <c r="D114" s="33"/>
      <c r="E114" s="33"/>
      <c r="F114" s="33"/>
      <c r="G114" s="33"/>
    </row>
    <row r="115" spans="3:3">
      <c r="C115" s="32"/>
    </row>
    <row r="116" spans="3:7">
      <c r="C116" s="32"/>
      <c r="D116" s="33"/>
      <c r="E116" s="33"/>
      <c r="F116" s="33"/>
      <c r="G116" s="33"/>
    </row>
    <row r="117" spans="3:7">
      <c r="C117" s="32"/>
      <c r="D117" s="33"/>
      <c r="E117" s="33"/>
      <c r="F117" s="33"/>
      <c r="G117" s="33"/>
    </row>
    <row r="118" spans="3:7">
      <c r="C118" s="32"/>
      <c r="D118" s="33"/>
      <c r="E118" s="33"/>
      <c r="F118" s="33"/>
      <c r="G118" s="33"/>
    </row>
    <row r="119" spans="3:7">
      <c r="C119" s="32"/>
      <c r="D119" s="33"/>
      <c r="E119" s="33"/>
      <c r="F119" s="33"/>
      <c r="G119" s="33"/>
    </row>
    <row r="120" spans="3:7">
      <c r="C120" s="32"/>
      <c r="D120" s="33"/>
      <c r="E120" s="33"/>
      <c r="F120" s="33"/>
      <c r="G120" s="33"/>
    </row>
    <row r="121" spans="3:3">
      <c r="C121" s="32"/>
    </row>
    <row r="122" spans="3:7">
      <c r="C122" s="32"/>
      <c r="D122" s="33"/>
      <c r="E122" s="33"/>
      <c r="F122" s="33"/>
      <c r="G122" s="33"/>
    </row>
    <row r="123" spans="3:7">
      <c r="C123" s="32"/>
      <c r="D123" s="33"/>
      <c r="E123" s="33"/>
      <c r="F123" s="33"/>
      <c r="G123" s="33"/>
    </row>
    <row r="124" spans="3:7">
      <c r="C124" s="32"/>
      <c r="D124" s="33"/>
      <c r="E124" s="33"/>
      <c r="F124" s="33"/>
      <c r="G124" s="33"/>
    </row>
    <row r="125" spans="3:7">
      <c r="C125" s="32"/>
      <c r="D125" s="33"/>
      <c r="E125" s="33"/>
      <c r="F125" s="33"/>
      <c r="G125" s="33"/>
    </row>
    <row r="126" spans="3:7">
      <c r="C126" s="32"/>
      <c r="D126" s="33"/>
      <c r="E126" s="33"/>
      <c r="F126" s="33"/>
      <c r="G126" s="33"/>
    </row>
    <row r="127" spans="3:3">
      <c r="C127" s="32"/>
    </row>
    <row r="128" spans="3:7">
      <c r="C128" s="32"/>
      <c r="D128" s="33"/>
      <c r="E128" s="33"/>
      <c r="F128" s="33"/>
      <c r="G128" s="33"/>
    </row>
    <row r="129" spans="3:7">
      <c r="C129" s="32"/>
      <c r="D129" s="33"/>
      <c r="E129" s="33"/>
      <c r="F129" s="33"/>
      <c r="G129" s="33"/>
    </row>
    <row r="130" spans="3:7">
      <c r="C130" s="32"/>
      <c r="D130" s="33"/>
      <c r="E130" s="33"/>
      <c r="F130" s="33"/>
      <c r="G130" s="33"/>
    </row>
    <row r="131" spans="3:7">
      <c r="C131" s="32"/>
      <c r="D131" s="33"/>
      <c r="E131" s="33"/>
      <c r="F131" s="33"/>
      <c r="G131" s="33"/>
    </row>
    <row r="132" spans="3:7">
      <c r="C132" s="32"/>
      <c r="D132" s="33"/>
      <c r="E132" s="33"/>
      <c r="F132" s="33"/>
      <c r="G132" s="33"/>
    </row>
    <row r="133" spans="3:3">
      <c r="C133" s="32"/>
    </row>
    <row r="134" spans="3:7">
      <c r="C134" s="32"/>
      <c r="D134" s="33"/>
      <c r="E134" s="33"/>
      <c r="F134" s="33"/>
      <c r="G134" s="33"/>
    </row>
    <row r="135" spans="3:7">
      <c r="C135" s="32"/>
      <c r="D135" s="33"/>
      <c r="E135" s="33"/>
      <c r="F135" s="33"/>
      <c r="G135" s="33"/>
    </row>
    <row r="136" spans="3:7">
      <c r="C136" s="32"/>
      <c r="D136" s="33"/>
      <c r="E136" s="33"/>
      <c r="F136" s="33"/>
      <c r="G136" s="33"/>
    </row>
    <row r="137" spans="3:7">
      <c r="C137" s="32"/>
      <c r="D137" s="33"/>
      <c r="E137" s="33"/>
      <c r="F137" s="33"/>
      <c r="G137" s="33"/>
    </row>
    <row r="138" spans="3:7">
      <c r="C138" s="32"/>
      <c r="D138" s="33"/>
      <c r="E138" s="33"/>
      <c r="F138" s="33"/>
      <c r="G138" s="33"/>
    </row>
    <row r="139" spans="3:3">
      <c r="C139" s="32"/>
    </row>
    <row r="140" spans="3:3">
      <c r="C140" s="32"/>
    </row>
    <row r="141" spans="3:3">
      <c r="C141" s="32"/>
    </row>
    <row r="142" spans="3:3">
      <c r="C142" s="32"/>
    </row>
    <row r="143" spans="3:3">
      <c r="C143" s="32"/>
    </row>
    <row r="144" spans="3:3">
      <c r="C144" s="32"/>
    </row>
    <row r="145" spans="3:3">
      <c r="C145" s="32"/>
    </row>
    <row r="146" spans="3:3">
      <c r="C146" s="32"/>
    </row>
    <row r="147" spans="3:3">
      <c r="C147" s="32"/>
    </row>
    <row r="148" spans="3:3">
      <c r="C148" s="32"/>
    </row>
    <row r="149" spans="3:3">
      <c r="C149" s="32"/>
    </row>
    <row r="150" spans="3:3">
      <c r="C150" s="32"/>
    </row>
    <row r="151" spans="3:3">
      <c r="C151" s="32"/>
    </row>
    <row r="152" spans="3:3">
      <c r="C152" s="32"/>
    </row>
    <row r="153" spans="3:3">
      <c r="C153" s="32"/>
    </row>
    <row r="154" spans="3:3">
      <c r="C154" s="32"/>
    </row>
    <row r="155" spans="3:3">
      <c r="C155" s="32"/>
    </row>
    <row r="156" spans="3:3">
      <c r="C156" s="32"/>
    </row>
    <row r="157" spans="3:3">
      <c r="C157" s="32"/>
    </row>
    <row r="158" spans="3:7">
      <c r="C158" s="32"/>
      <c r="F158" s="33"/>
      <c r="G158" s="33"/>
    </row>
    <row r="159" spans="3:7">
      <c r="C159" s="32"/>
      <c r="F159" s="33"/>
      <c r="G159" s="33"/>
    </row>
    <row r="160" spans="3:7">
      <c r="C160" s="32"/>
      <c r="F160" s="33"/>
      <c r="G160" s="33"/>
    </row>
    <row r="161" spans="3:7">
      <c r="C161" s="32"/>
      <c r="F161" s="33"/>
      <c r="G161" s="33"/>
    </row>
    <row r="162" spans="3:7">
      <c r="C162" s="32"/>
      <c r="F162" s="33"/>
      <c r="G162" s="33"/>
    </row>
    <row r="163" spans="3:3">
      <c r="C163" s="32"/>
    </row>
    <row r="164" spans="3:7">
      <c r="C164" s="32"/>
      <c r="F164" s="33"/>
      <c r="G164" s="33"/>
    </row>
    <row r="165" spans="3:7">
      <c r="C165" s="32"/>
      <c r="F165" s="33"/>
      <c r="G165" s="33"/>
    </row>
    <row r="166" spans="3:7">
      <c r="C166" s="32"/>
      <c r="F166" s="33"/>
      <c r="G166" s="33"/>
    </row>
    <row r="167" spans="3:7">
      <c r="C167" s="32"/>
      <c r="F167" s="33"/>
      <c r="G167" s="33"/>
    </row>
    <row r="168" spans="3:7">
      <c r="C168" s="32"/>
      <c r="F168" s="33"/>
      <c r="G168" s="33"/>
    </row>
    <row r="169" spans="3:3">
      <c r="C169" s="32"/>
    </row>
    <row r="170" spans="3:3">
      <c r="C170" s="32"/>
    </row>
    <row r="171" spans="3:3">
      <c r="C171" s="32"/>
    </row>
    <row r="172" spans="3:3">
      <c r="C172" s="32"/>
    </row>
    <row r="173" spans="3:3">
      <c r="C173" s="32"/>
    </row>
    <row r="174" spans="3:3">
      <c r="C174" s="32"/>
    </row>
    <row r="175" spans="3:3">
      <c r="C175" s="32"/>
    </row>
    <row r="176" spans="3:7">
      <c r="C176" s="32"/>
      <c r="D176" s="33"/>
      <c r="E176" s="33"/>
      <c r="F176" s="33"/>
      <c r="G176" s="33"/>
    </row>
    <row r="177" spans="3:7">
      <c r="C177" s="32"/>
      <c r="D177" s="33"/>
      <c r="E177" s="33"/>
      <c r="F177" s="33"/>
      <c r="G177" s="33"/>
    </row>
    <row r="178" spans="3:7">
      <c r="C178" s="32"/>
      <c r="D178" s="33"/>
      <c r="E178" s="33"/>
      <c r="F178" s="33"/>
      <c r="G178" s="33"/>
    </row>
    <row r="179" spans="3:7">
      <c r="C179" s="32"/>
      <c r="D179" s="33"/>
      <c r="E179" s="33"/>
      <c r="F179" s="33"/>
      <c r="G179" s="33"/>
    </row>
    <row r="180" spans="3:7">
      <c r="C180" s="32"/>
      <c r="D180" s="33"/>
      <c r="E180" s="33"/>
      <c r="F180" s="33"/>
      <c r="G180" s="33"/>
    </row>
    <row r="181" spans="3:3">
      <c r="C181" s="32"/>
    </row>
    <row r="182" spans="3:7">
      <c r="C182" s="32"/>
      <c r="D182" s="33"/>
      <c r="E182" s="33"/>
      <c r="F182" s="33"/>
      <c r="G182" s="33"/>
    </row>
    <row r="183" spans="3:7">
      <c r="C183" s="32"/>
      <c r="D183" s="33"/>
      <c r="E183" s="33"/>
      <c r="F183" s="33"/>
      <c r="G183" s="33"/>
    </row>
    <row r="184" spans="3:7">
      <c r="C184" s="32"/>
      <c r="D184" s="33"/>
      <c r="E184" s="33"/>
      <c r="F184" s="33"/>
      <c r="G184" s="33"/>
    </row>
    <row r="185" spans="3:7">
      <c r="C185" s="32"/>
      <c r="D185" s="33"/>
      <c r="E185" s="33"/>
      <c r="F185" s="33"/>
      <c r="G185" s="33"/>
    </row>
    <row r="186" spans="3:7">
      <c r="C186" s="32"/>
      <c r="D186" s="33"/>
      <c r="E186" s="33"/>
      <c r="F186" s="33"/>
      <c r="G186" s="33"/>
    </row>
    <row r="187" spans="3:3">
      <c r="C187" s="32"/>
    </row>
    <row r="188" spans="3:3">
      <c r="C188" s="32"/>
    </row>
    <row r="189" spans="3:3">
      <c r="C189" s="32"/>
    </row>
    <row r="190" spans="3:3">
      <c r="C190" s="32"/>
    </row>
    <row r="191" spans="3:3">
      <c r="C191" s="32"/>
    </row>
    <row r="192" spans="3:3">
      <c r="C192" s="32"/>
    </row>
    <row r="193" spans="3:7">
      <c r="C193" s="32"/>
      <c r="D193" s="32"/>
      <c r="E193" s="32"/>
      <c r="F193" s="32"/>
      <c r="G193" s="32"/>
    </row>
    <row r="194" spans="3:7">
      <c r="C194" s="32"/>
      <c r="D194" s="32"/>
      <c r="E194" s="32"/>
      <c r="F194" s="32"/>
      <c r="G194" s="32"/>
    </row>
    <row r="195" spans="3:7">
      <c r="C195" s="32"/>
      <c r="D195" s="32"/>
      <c r="E195" s="32"/>
      <c r="F195" s="32"/>
      <c r="G195" s="32"/>
    </row>
    <row r="196" spans="3:7">
      <c r="C196" s="32"/>
      <c r="D196" s="32"/>
      <c r="E196" s="32"/>
      <c r="F196" s="32"/>
      <c r="G196" s="32"/>
    </row>
    <row r="200" spans="3:3">
      <c r="C200" s="32"/>
    </row>
    <row r="201" spans="3:3">
      <c r="C201" s="46"/>
    </row>
  </sheetData>
  <mergeCells count="4">
    <mergeCell ref="B3:C3"/>
    <mergeCell ref="B10:C10"/>
    <mergeCell ref="B17:C17"/>
    <mergeCell ref="B24:C24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S166"/>
  <sheetViews>
    <sheetView topLeftCell="F158" workbookViewId="0">
      <selection activeCell="Q232" sqref="Q232"/>
    </sheetView>
  </sheetViews>
  <sheetFormatPr defaultColWidth="9" defaultRowHeight="13.5"/>
  <cols>
    <col min="4" max="4" width="12.625"/>
    <col min="5" max="5" width="11.5"/>
    <col min="6" max="7" width="12.625"/>
    <col min="8" max="8" width="11.5"/>
    <col min="9" max="9" width="12.625"/>
    <col min="10" max="10" width="59.75" customWidth="1"/>
    <col min="11" max="13" width="12.625"/>
    <col min="14" max="14" width="11.5"/>
    <col min="15" max="17" width="12.625"/>
  </cols>
  <sheetData>
    <row r="3" spans="1:1">
      <c r="A3" t="s">
        <v>48</v>
      </c>
    </row>
    <row r="4" spans="3:19">
      <c r="C4">
        <v>2007</v>
      </c>
      <c r="D4">
        <v>2008</v>
      </c>
      <c r="E4">
        <v>2009</v>
      </c>
      <c r="F4">
        <v>2010</v>
      </c>
      <c r="G4">
        <v>2011</v>
      </c>
      <c r="H4">
        <v>2012</v>
      </c>
      <c r="I4">
        <v>2013</v>
      </c>
      <c r="J4">
        <v>2014</v>
      </c>
      <c r="K4">
        <v>2015</v>
      </c>
      <c r="L4">
        <v>2016</v>
      </c>
      <c r="M4">
        <v>2017</v>
      </c>
      <c r="N4">
        <v>2018</v>
      </c>
      <c r="O4">
        <v>2019</v>
      </c>
      <c r="P4">
        <v>2020</v>
      </c>
      <c r="Q4">
        <v>2021</v>
      </c>
      <c r="R4">
        <v>2022</v>
      </c>
      <c r="S4">
        <v>2023</v>
      </c>
    </row>
    <row r="5" spans="2:17">
      <c r="B5" t="s">
        <v>49</v>
      </c>
      <c r="C5">
        <v>1480</v>
      </c>
      <c r="D5">
        <v>1673</v>
      </c>
      <c r="E5">
        <v>1841</v>
      </c>
      <c r="F5">
        <v>2045</v>
      </c>
      <c r="G5">
        <v>2302</v>
      </c>
      <c r="H5">
        <v>2526</v>
      </c>
      <c r="I5">
        <v>2756</v>
      </c>
      <c r="J5">
        <v>2961</v>
      </c>
      <c r="K5">
        <v>3151</v>
      </c>
      <c r="L5">
        <v>3339</v>
      </c>
      <c r="M5">
        <v>3581</v>
      </c>
      <c r="N5">
        <v>3855</v>
      </c>
      <c r="O5">
        <v>4159</v>
      </c>
      <c r="P5">
        <v>4495</v>
      </c>
      <c r="Q5">
        <v>4859</v>
      </c>
    </row>
    <row r="6" spans="2:17">
      <c r="B6" t="s">
        <v>50</v>
      </c>
      <c r="D6" s="82">
        <f>D5/C5-1</f>
        <v>0.130405405405405</v>
      </c>
      <c r="E6" s="82">
        <f t="shared" ref="E6:Q6" si="0">E5/D5-1</f>
        <v>0.100418410041841</v>
      </c>
      <c r="F6" s="82">
        <f t="shared" si="0"/>
        <v>0.110809342748506</v>
      </c>
      <c r="G6" s="82">
        <f t="shared" si="0"/>
        <v>0.125672371638142</v>
      </c>
      <c r="H6" s="82">
        <f t="shared" si="0"/>
        <v>0.0973066898349262</v>
      </c>
      <c r="I6" s="82">
        <f t="shared" si="0"/>
        <v>0.0910530482977039</v>
      </c>
      <c r="J6" s="82">
        <f t="shared" si="0"/>
        <v>0.0743831640058055</v>
      </c>
      <c r="K6" s="82">
        <f t="shared" si="0"/>
        <v>0.0641675109760216</v>
      </c>
      <c r="L6" s="82">
        <f t="shared" si="0"/>
        <v>0.0596635988575056</v>
      </c>
      <c r="M6" s="82">
        <f t="shared" si="0"/>
        <v>0.0724767894579215</v>
      </c>
      <c r="N6" s="82">
        <f t="shared" si="0"/>
        <v>0.0765149399609049</v>
      </c>
      <c r="O6" s="82">
        <f t="shared" si="0"/>
        <v>0.078858625162127</v>
      </c>
      <c r="P6" s="82">
        <f t="shared" si="0"/>
        <v>0.0807886511180573</v>
      </c>
      <c r="Q6" s="82">
        <f t="shared" si="0"/>
        <v>0.0809788654060066</v>
      </c>
    </row>
    <row r="11" ht="15.75" spans="2:2">
      <c r="B11" s="83" t="s">
        <v>51</v>
      </c>
    </row>
    <row r="12" ht="15.75" spans="2:2">
      <c r="B12" s="84" t="s">
        <v>52</v>
      </c>
    </row>
    <row r="15" ht="15.75" spans="2:2">
      <c r="B15" s="83" t="s">
        <v>53</v>
      </c>
    </row>
    <row r="16" ht="15.75" spans="2:10">
      <c r="B16" s="84" t="s">
        <v>54</v>
      </c>
      <c r="J16" s="85" t="s">
        <v>55</v>
      </c>
    </row>
    <row r="17" ht="15.75" spans="2:10">
      <c r="B17" s="84" t="s">
        <v>56</v>
      </c>
      <c r="J17" s="86" t="s">
        <v>57</v>
      </c>
    </row>
    <row r="18" ht="15.75" spans="10:10">
      <c r="J18" s="86" t="s">
        <v>58</v>
      </c>
    </row>
    <row r="19" ht="15.75" spans="10:10">
      <c r="J19" s="86" t="s">
        <v>59</v>
      </c>
    </row>
    <row r="21" spans="10:10">
      <c r="J21" t="s">
        <v>60</v>
      </c>
    </row>
    <row r="61" spans="2:2">
      <c r="B61" t="s">
        <v>61</v>
      </c>
    </row>
    <row r="62" spans="5:5">
      <c r="E62" t="s">
        <v>62</v>
      </c>
    </row>
    <row r="63" spans="2:6">
      <c r="B63" t="s">
        <v>63</v>
      </c>
      <c r="C63" s="79">
        <v>0.5</v>
      </c>
      <c r="E63" t="s">
        <v>64</v>
      </c>
      <c r="F63" s="79">
        <v>0.14</v>
      </c>
    </row>
    <row r="64" spans="2:6">
      <c r="B64" t="s">
        <v>64</v>
      </c>
      <c r="C64" s="79">
        <v>0.09</v>
      </c>
      <c r="E64" t="s">
        <v>65</v>
      </c>
      <c r="F64" s="79">
        <v>0.1</v>
      </c>
    </row>
    <row r="65" spans="2:6">
      <c r="B65" t="s">
        <v>65</v>
      </c>
      <c r="C65" s="79">
        <v>0.12</v>
      </c>
      <c r="E65" t="s">
        <v>63</v>
      </c>
      <c r="F65" s="79">
        <v>0.08</v>
      </c>
    </row>
    <row r="66" spans="2:6">
      <c r="B66" t="s">
        <v>66</v>
      </c>
      <c r="C66" s="79">
        <v>0.14</v>
      </c>
      <c r="E66" t="s">
        <v>67</v>
      </c>
      <c r="F66" s="87">
        <v>0.078</v>
      </c>
    </row>
    <row r="67" spans="2:6">
      <c r="B67" t="s">
        <v>68</v>
      </c>
      <c r="C67" s="79">
        <v>0.09</v>
      </c>
      <c r="E67" t="s">
        <v>68</v>
      </c>
      <c r="F67" s="79">
        <v>0.07</v>
      </c>
    </row>
    <row r="68" spans="2:6">
      <c r="B68" t="s">
        <v>69</v>
      </c>
      <c r="C68" s="79">
        <v>0.06</v>
      </c>
      <c r="E68" t="s">
        <v>66</v>
      </c>
      <c r="F68" s="79">
        <v>0.03</v>
      </c>
    </row>
    <row r="162" ht="15.75" spans="13:13">
      <c r="M162" s="84" t="s">
        <v>70</v>
      </c>
    </row>
    <row r="163" ht="15.75" spans="13:13">
      <c r="M163" s="84" t="s">
        <v>71</v>
      </c>
    </row>
    <row r="164" ht="15.75" spans="13:13">
      <c r="M164" s="84" t="s">
        <v>72</v>
      </c>
    </row>
    <row r="165" ht="15.75" spans="13:13">
      <c r="M165" s="84" t="s">
        <v>73</v>
      </c>
    </row>
    <row r="166" ht="15.75" spans="13:13">
      <c r="M166" s="84" t="s">
        <v>74</v>
      </c>
    </row>
  </sheetData>
  <mergeCells count="1">
    <mergeCell ref="A3:E3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28" workbookViewId="0">
      <selection activeCell="S63" sqref="S63"/>
    </sheetView>
  </sheetViews>
  <sheetFormatPr defaultColWidth="9" defaultRowHeight="13.5"/>
  <sheetData/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abSelected="1" topLeftCell="A31" workbookViewId="0">
      <selection activeCell="Q64" sqref="Q64"/>
    </sheetView>
  </sheetViews>
  <sheetFormatPr defaultColWidth="9" defaultRowHeight="13.5"/>
  <sheetData/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2" workbookViewId="0">
      <selection activeCell="I46" sqref="I46"/>
    </sheetView>
  </sheetViews>
  <sheetFormatPr defaultColWidth="9" defaultRowHeight="13.5"/>
  <sheetData/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I31" sqref="I31"/>
    </sheetView>
  </sheetViews>
  <sheetFormatPr defaultColWidth="9" defaultRowHeight="13.5"/>
  <sheetData/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1"/>
  <sheetViews>
    <sheetView topLeftCell="A5" workbookViewId="0">
      <selection activeCell="A44" sqref="A44"/>
    </sheetView>
  </sheetViews>
  <sheetFormatPr defaultColWidth="9" defaultRowHeight="14.25"/>
  <cols>
    <col min="1" max="1" width="52.7166666666667" style="47"/>
    <col min="2" max="6" width="15.1416666666667" style="60" hidden="1" outlineLevel="1"/>
    <col min="7" max="7" width="15.1416666666667" style="29" collapsed="1"/>
    <col min="8" max="10" width="15.1416666666667" style="29"/>
    <col min="11" max="13" width="12.625" style="61"/>
    <col min="14" max="15" width="13.75" style="61"/>
    <col min="16" max="16" width="13.75" style="62"/>
    <col min="17" max="72" width="9" style="63"/>
  </cols>
  <sheetData>
    <row r="1" spans="2:16">
      <c r="B1" s="1">
        <v>2010</v>
      </c>
      <c r="C1" s="1">
        <v>2011</v>
      </c>
      <c r="D1" s="1">
        <v>2012</v>
      </c>
      <c r="E1" s="1">
        <v>2013</v>
      </c>
      <c r="F1" s="1">
        <v>2014</v>
      </c>
      <c r="G1" s="32">
        <v>2015</v>
      </c>
      <c r="H1" s="32">
        <v>2016</v>
      </c>
      <c r="I1" s="32">
        <v>2017</v>
      </c>
      <c r="J1" s="32">
        <v>2018</v>
      </c>
      <c r="K1" s="29" t="s">
        <v>75</v>
      </c>
      <c r="L1" s="29" t="s">
        <v>76</v>
      </c>
      <c r="M1" s="29" t="s">
        <v>77</v>
      </c>
      <c r="N1" s="29" t="s">
        <v>78</v>
      </c>
      <c r="O1" s="29" t="s">
        <v>79</v>
      </c>
      <c r="P1" s="71" t="s">
        <v>80</v>
      </c>
    </row>
    <row r="2" spans="1:16">
      <c r="A2" s="48" t="s">
        <v>44</v>
      </c>
      <c r="B2" s="64">
        <v>30.94</v>
      </c>
      <c r="C2" s="64">
        <v>35.77</v>
      </c>
      <c r="D2" s="64">
        <v>39.99</v>
      </c>
      <c r="E2" s="64">
        <v>44.69</v>
      </c>
      <c r="F2" s="64">
        <v>53.35</v>
      </c>
      <c r="G2" s="33">
        <v>58.46</v>
      </c>
      <c r="H2" s="33">
        <v>53.21</v>
      </c>
      <c r="I2" s="33">
        <v>64.88</v>
      </c>
      <c r="J2" s="33">
        <v>71.38</v>
      </c>
      <c r="K2" s="72">
        <f>业务模型!H32</f>
        <v>77.4883</v>
      </c>
      <c r="L2" s="72">
        <f>业务模型!I32</f>
        <v>85.891435</v>
      </c>
      <c r="M2" s="72">
        <f>业务模型!J32</f>
        <v>95.55270635</v>
      </c>
      <c r="N2" s="72">
        <f>业务模型!K32</f>
        <v>106.164737052</v>
      </c>
      <c r="O2" s="72">
        <f>业务模型!L32</f>
        <v>117.99827578224</v>
      </c>
      <c r="P2" s="72">
        <f>业务模型!M32</f>
        <v>131.201408688509</v>
      </c>
    </row>
    <row r="3" spans="1:16">
      <c r="A3" s="65" t="s">
        <v>45</v>
      </c>
      <c r="B3" s="64"/>
      <c r="C3" s="64"/>
      <c r="D3" s="64"/>
      <c r="E3" s="64"/>
      <c r="F3" s="64"/>
      <c r="G3" s="66">
        <f>G2/F2-1</f>
        <v>0.0957825679475164</v>
      </c>
      <c r="H3" s="66">
        <f t="shared" ref="H3:P3" si="0">H2/G2-1</f>
        <v>-0.089804994868286</v>
      </c>
      <c r="I3" s="66">
        <f t="shared" si="0"/>
        <v>0.21931967675249</v>
      </c>
      <c r="J3" s="66">
        <f t="shared" si="0"/>
        <v>0.100184956843403</v>
      </c>
      <c r="K3" s="66">
        <f t="shared" si="0"/>
        <v>0.0855743905855981</v>
      </c>
      <c r="L3" s="66">
        <f t="shared" si="0"/>
        <v>0.108443919920814</v>
      </c>
      <c r="M3" s="66">
        <f t="shared" si="0"/>
        <v>0.112482360435589</v>
      </c>
      <c r="N3" s="66">
        <f t="shared" si="0"/>
        <v>0.111059446742714</v>
      </c>
      <c r="O3" s="66">
        <f t="shared" si="0"/>
        <v>0.111463929161751</v>
      </c>
      <c r="P3" s="66">
        <f t="shared" si="0"/>
        <v>0.111892591809007</v>
      </c>
    </row>
    <row r="4" spans="1:16">
      <c r="A4" s="48" t="s">
        <v>81</v>
      </c>
      <c r="B4" s="64">
        <v>13.99</v>
      </c>
      <c r="C4" s="64">
        <v>15.19</v>
      </c>
      <c r="D4" s="64">
        <v>15.3</v>
      </c>
      <c r="E4" s="64">
        <v>16.55</v>
      </c>
      <c r="F4" s="64">
        <v>20.37</v>
      </c>
      <c r="G4" s="33">
        <v>23.86</v>
      </c>
      <c r="H4" s="33">
        <v>20.61</v>
      </c>
      <c r="I4" s="33">
        <v>22.76</v>
      </c>
      <c r="J4" s="33">
        <v>26.56</v>
      </c>
      <c r="K4" s="38">
        <f>业务模型!H34</f>
        <v>29.226892</v>
      </c>
      <c r="L4" s="38">
        <f>业务模型!I34</f>
        <v>32.3764741</v>
      </c>
      <c r="M4" s="38">
        <f>业务模型!J34</f>
        <v>36.065039183</v>
      </c>
      <c r="N4" s="38">
        <f>业务模型!K34</f>
        <v>39.76665764856</v>
      </c>
      <c r="O4" s="38">
        <f>业务模型!L34</f>
        <v>42.7163700325824</v>
      </c>
      <c r="P4" s="73">
        <f>业务模型!M34</f>
        <v>47.5457904211323</v>
      </c>
    </row>
    <row r="5" spans="1:16">
      <c r="A5" s="48" t="s">
        <v>82</v>
      </c>
      <c r="B5" s="64"/>
      <c r="C5" s="64"/>
      <c r="D5" s="64"/>
      <c r="E5" s="64"/>
      <c r="F5" s="64"/>
      <c r="G5" s="67">
        <f>(G2-G4)/G2</f>
        <v>0.591857680465275</v>
      </c>
      <c r="H5" s="67">
        <f t="shared" ref="H5:P5" si="1">(H2-H4)/H2</f>
        <v>0.612666791956399</v>
      </c>
      <c r="I5" s="67">
        <f t="shared" si="1"/>
        <v>0.649198520345253</v>
      </c>
      <c r="J5" s="67">
        <f t="shared" si="1"/>
        <v>0.627906976744186</v>
      </c>
      <c r="K5" s="67">
        <f t="shared" si="1"/>
        <v>0.622821871172809</v>
      </c>
      <c r="L5" s="67">
        <f t="shared" si="1"/>
        <v>0.623053519830004</v>
      </c>
      <c r="M5" s="67">
        <f t="shared" si="1"/>
        <v>0.622563917228075</v>
      </c>
      <c r="N5" s="67">
        <f t="shared" si="1"/>
        <v>0.625424988062824</v>
      </c>
      <c r="O5" s="67">
        <f t="shared" si="1"/>
        <v>0.637991574458144</v>
      </c>
      <c r="P5" s="74">
        <f t="shared" si="1"/>
        <v>0.637612195658563</v>
      </c>
    </row>
    <row r="6" spans="1:16">
      <c r="A6" s="48" t="s">
        <v>38</v>
      </c>
      <c r="B6" s="64"/>
      <c r="C6" s="64"/>
      <c r="D6" s="64"/>
      <c r="E6" s="64"/>
      <c r="F6" s="64"/>
      <c r="G6" s="68">
        <f>G2-G4</f>
        <v>34.6</v>
      </c>
      <c r="H6" s="68">
        <f t="shared" ref="H6:P6" si="2">H2-H4</f>
        <v>32.6</v>
      </c>
      <c r="I6" s="68">
        <f t="shared" si="2"/>
        <v>42.12</v>
      </c>
      <c r="J6" s="68">
        <f t="shared" si="2"/>
        <v>44.82</v>
      </c>
      <c r="K6" s="75">
        <f t="shared" si="2"/>
        <v>48.261408</v>
      </c>
      <c r="L6" s="75">
        <f t="shared" si="2"/>
        <v>53.5149609</v>
      </c>
      <c r="M6" s="75">
        <f t="shared" si="2"/>
        <v>59.487667167</v>
      </c>
      <c r="N6" s="75">
        <f t="shared" si="2"/>
        <v>66.39807940344</v>
      </c>
      <c r="O6" s="75">
        <f t="shared" si="2"/>
        <v>75.2819057496576</v>
      </c>
      <c r="P6" s="75">
        <f t="shared" si="2"/>
        <v>83.6556182673765</v>
      </c>
    </row>
    <row r="7" spans="1:16">
      <c r="A7" s="48" t="s">
        <v>83</v>
      </c>
      <c r="B7" s="64">
        <v>0.25</v>
      </c>
      <c r="C7" s="64">
        <v>0.37</v>
      </c>
      <c r="D7" s="64">
        <v>0.43</v>
      </c>
      <c r="E7" s="64">
        <v>0.42</v>
      </c>
      <c r="F7" s="64">
        <v>0.49</v>
      </c>
      <c r="G7" s="33">
        <v>0.53</v>
      </c>
      <c r="H7" s="33">
        <v>0.55</v>
      </c>
      <c r="I7" s="33">
        <v>0.58</v>
      </c>
      <c r="J7" s="33">
        <v>0.56</v>
      </c>
      <c r="K7" s="38">
        <f t="shared" ref="K7:P7" si="3">K2*K37</f>
        <v>0.6973947</v>
      </c>
      <c r="L7" s="38">
        <f t="shared" si="3"/>
        <v>0.773022915</v>
      </c>
      <c r="M7" s="38">
        <f t="shared" si="3"/>
        <v>0.85997435715</v>
      </c>
      <c r="N7" s="38">
        <f t="shared" si="3"/>
        <v>0.955482633468</v>
      </c>
      <c r="O7" s="38">
        <f t="shared" si="3"/>
        <v>1.06198448204016</v>
      </c>
      <c r="P7" s="38">
        <f t="shared" si="3"/>
        <v>1.18081267819658</v>
      </c>
    </row>
    <row r="8" spans="1:16">
      <c r="A8" s="48" t="s">
        <v>84</v>
      </c>
      <c r="B8" s="64">
        <v>10.76</v>
      </c>
      <c r="C8" s="64">
        <v>12.83</v>
      </c>
      <c r="D8" s="64">
        <v>13.8</v>
      </c>
      <c r="E8" s="64">
        <v>14.38</v>
      </c>
      <c r="F8" s="64">
        <v>17.47</v>
      </c>
      <c r="G8" s="33">
        <v>20.35</v>
      </c>
      <c r="H8" s="33">
        <v>23.84</v>
      </c>
      <c r="I8" s="33">
        <v>27.78</v>
      </c>
      <c r="J8" s="33">
        <v>29.01</v>
      </c>
      <c r="K8" s="38">
        <f t="shared" ref="K8:P8" si="4">K2*K38</f>
        <v>29.8329955</v>
      </c>
      <c r="L8" s="38">
        <f t="shared" si="4"/>
        <v>32.209288125</v>
      </c>
      <c r="M8" s="38">
        <f t="shared" si="4"/>
        <v>34.87673781775</v>
      </c>
      <c r="N8" s="38">
        <f t="shared" si="4"/>
        <v>38.75012902398</v>
      </c>
      <c r="O8" s="38">
        <f t="shared" si="4"/>
        <v>43.0693706605176</v>
      </c>
      <c r="P8" s="38">
        <f t="shared" si="4"/>
        <v>47.8885141713057</v>
      </c>
    </row>
    <row r="9" spans="1:16">
      <c r="A9" s="48" t="s">
        <v>85</v>
      </c>
      <c r="B9" s="64">
        <v>3.01</v>
      </c>
      <c r="C9" s="64">
        <v>3.93</v>
      </c>
      <c r="D9" s="64">
        <v>5.03</v>
      </c>
      <c r="E9" s="64">
        <v>5.72</v>
      </c>
      <c r="F9" s="64">
        <v>6.12</v>
      </c>
      <c r="G9" s="33">
        <v>6.05</v>
      </c>
      <c r="H9" s="33">
        <v>6.47</v>
      </c>
      <c r="I9" s="33">
        <v>10.04</v>
      </c>
      <c r="J9" s="33">
        <v>8.83</v>
      </c>
      <c r="K9" s="38">
        <f t="shared" ref="K9:P9" si="5">K2*K39</f>
        <v>9.6085492</v>
      </c>
      <c r="L9" s="38">
        <f t="shared" si="5"/>
        <v>10.65053794</v>
      </c>
      <c r="M9" s="38">
        <f t="shared" si="5"/>
        <v>11.8485355874</v>
      </c>
      <c r="N9" s="38">
        <f t="shared" si="5"/>
        <v>13.164427394448</v>
      </c>
      <c r="O9" s="38">
        <f t="shared" si="5"/>
        <v>14.6317861969978</v>
      </c>
      <c r="P9" s="38">
        <f t="shared" si="5"/>
        <v>16.2689746773751</v>
      </c>
    </row>
    <row r="10" spans="1:16">
      <c r="A10" s="48" t="s">
        <v>86</v>
      </c>
      <c r="G10" s="29" t="s">
        <v>87</v>
      </c>
      <c r="H10" s="29" t="s">
        <v>88</v>
      </c>
      <c r="I10" s="29" t="s">
        <v>89</v>
      </c>
      <c r="J10" s="33">
        <v>1.68</v>
      </c>
      <c r="K10" s="52">
        <f t="shared" ref="K10:P10" si="6">K2*K40</f>
        <v>1.8597192</v>
      </c>
      <c r="L10" s="52">
        <f t="shared" si="6"/>
        <v>2.06139444</v>
      </c>
      <c r="M10" s="52">
        <f t="shared" si="6"/>
        <v>2.2932649524</v>
      </c>
      <c r="N10" s="52">
        <f t="shared" si="6"/>
        <v>2.547953689248</v>
      </c>
      <c r="O10" s="52">
        <f t="shared" si="6"/>
        <v>2.83195861877376</v>
      </c>
      <c r="P10" s="52">
        <f t="shared" si="6"/>
        <v>3.14883380852421</v>
      </c>
    </row>
    <row r="11" spans="1:16">
      <c r="A11" s="48" t="s">
        <v>90</v>
      </c>
      <c r="B11" s="64">
        <v>-0.05</v>
      </c>
      <c r="C11" s="64">
        <v>-0.11</v>
      </c>
      <c r="D11" s="64">
        <v>-0.17</v>
      </c>
      <c r="E11" s="64">
        <v>-0.23</v>
      </c>
      <c r="F11" s="64">
        <v>-0.25</v>
      </c>
      <c r="G11" s="33">
        <v>-0.49</v>
      </c>
      <c r="H11" s="33">
        <v>-0.69</v>
      </c>
      <c r="I11" s="33">
        <v>0.3</v>
      </c>
      <c r="J11" s="33">
        <v>0.61</v>
      </c>
      <c r="K11" s="38">
        <f t="shared" ref="K11:P11" si="7">K2*K41</f>
        <v>0.4649298</v>
      </c>
      <c r="L11" s="38">
        <f t="shared" si="7"/>
        <v>0.429457175</v>
      </c>
      <c r="M11" s="38">
        <f t="shared" si="7"/>
        <v>0</v>
      </c>
      <c r="N11" s="38">
        <f t="shared" si="7"/>
        <v>0</v>
      </c>
      <c r="O11" s="38">
        <f t="shared" si="7"/>
        <v>0</v>
      </c>
      <c r="P11" s="38">
        <f t="shared" si="7"/>
        <v>0</v>
      </c>
    </row>
    <row r="12" spans="1:16">
      <c r="A12" s="48" t="s">
        <v>91</v>
      </c>
      <c r="J12" s="33">
        <v>0.66</v>
      </c>
      <c r="K12" s="35"/>
      <c r="L12" s="35"/>
      <c r="M12" s="35"/>
      <c r="N12" s="35"/>
      <c r="O12" s="35"/>
      <c r="P12" s="76"/>
    </row>
    <row r="13" spans="1:16">
      <c r="A13" s="48" t="s">
        <v>92</v>
      </c>
      <c r="J13" s="33">
        <v>0.14</v>
      </c>
      <c r="K13" s="35"/>
      <c r="L13" s="35"/>
      <c r="M13" s="35"/>
      <c r="N13" s="35"/>
      <c r="O13" s="35"/>
      <c r="P13" s="76"/>
    </row>
    <row r="14" spans="1:16">
      <c r="A14" s="48" t="s">
        <v>93</v>
      </c>
      <c r="I14" s="33">
        <v>0.49</v>
      </c>
      <c r="J14" s="33">
        <v>1.87</v>
      </c>
      <c r="K14" s="35">
        <v>0.78</v>
      </c>
      <c r="L14" s="35"/>
      <c r="M14" s="35"/>
      <c r="N14" s="35"/>
      <c r="O14" s="35"/>
      <c r="P14" s="76"/>
    </row>
    <row r="15" spans="1:16">
      <c r="A15" s="48" t="s">
        <v>94</v>
      </c>
      <c r="B15" s="64">
        <v>0.89</v>
      </c>
      <c r="C15" s="64">
        <v>0.89</v>
      </c>
      <c r="D15" s="64">
        <v>1.68</v>
      </c>
      <c r="E15" s="64">
        <v>1.62</v>
      </c>
      <c r="F15" s="64">
        <v>2.26</v>
      </c>
      <c r="G15" s="33">
        <v>17.87</v>
      </c>
      <c r="H15" s="33">
        <v>0.21</v>
      </c>
      <c r="I15" s="33">
        <v>1.46</v>
      </c>
      <c r="J15" s="33">
        <v>1.3</v>
      </c>
      <c r="K15" s="35">
        <v>1.28</v>
      </c>
      <c r="L15" s="35">
        <f>K15</f>
        <v>1.28</v>
      </c>
      <c r="M15" s="35">
        <f>L15</f>
        <v>1.28</v>
      </c>
      <c r="N15" s="35">
        <f>M15</f>
        <v>1.28</v>
      </c>
      <c r="O15" s="35">
        <f>N15</f>
        <v>1.28</v>
      </c>
      <c r="P15" s="35">
        <f>O15</f>
        <v>1.28</v>
      </c>
    </row>
    <row r="16" spans="1:16">
      <c r="A16" s="48" t="s">
        <v>95</v>
      </c>
      <c r="B16" s="64">
        <v>0.89</v>
      </c>
      <c r="C16" s="64">
        <v>0.88</v>
      </c>
      <c r="D16" s="64">
        <v>1.66</v>
      </c>
      <c r="E16" s="64">
        <v>1.41</v>
      </c>
      <c r="F16" s="64">
        <v>1.8</v>
      </c>
      <c r="G16" s="33">
        <v>17.45</v>
      </c>
      <c r="H16" s="33">
        <v>-0.06</v>
      </c>
      <c r="I16" s="33">
        <v>0.14</v>
      </c>
      <c r="J16" s="33">
        <v>0.69</v>
      </c>
      <c r="K16" s="35"/>
      <c r="L16" s="35"/>
      <c r="M16" s="35"/>
      <c r="N16" s="35"/>
      <c r="O16" s="35"/>
      <c r="P16" s="76"/>
    </row>
    <row r="17" spans="1:16">
      <c r="A17" s="48" t="s">
        <v>96</v>
      </c>
      <c r="I17" s="33">
        <v>-0.02</v>
      </c>
      <c r="J17" s="33">
        <v>-0.03</v>
      </c>
      <c r="K17" s="35"/>
      <c r="L17" s="35"/>
      <c r="M17" s="35"/>
      <c r="N17" s="35"/>
      <c r="O17" s="35"/>
      <c r="P17" s="76"/>
    </row>
    <row r="18" spans="1:16">
      <c r="A18" s="48" t="s">
        <v>97</v>
      </c>
      <c r="B18" s="64">
        <v>0.95</v>
      </c>
      <c r="C18" s="64">
        <v>0.08</v>
      </c>
      <c r="D18" s="64">
        <v>0.13</v>
      </c>
      <c r="E18" s="64">
        <v>0.09</v>
      </c>
      <c r="F18" s="64">
        <v>0.17</v>
      </c>
      <c r="G18" s="33">
        <v>0.27</v>
      </c>
      <c r="H18" s="33">
        <v>-0.1</v>
      </c>
      <c r="I18" s="33">
        <v>0.49</v>
      </c>
      <c r="J18" s="33">
        <v>0.6</v>
      </c>
      <c r="K18" s="35">
        <f>0.3</f>
        <v>0.3</v>
      </c>
      <c r="L18" s="35">
        <f>K18</f>
        <v>0.3</v>
      </c>
      <c r="M18" s="35">
        <f>L18</f>
        <v>0.3</v>
      </c>
      <c r="N18" s="35">
        <f>M18</f>
        <v>0.3</v>
      </c>
      <c r="O18" s="35">
        <f>N18</f>
        <v>0.3</v>
      </c>
      <c r="P18" s="35">
        <f>O18</f>
        <v>0.3</v>
      </c>
    </row>
    <row r="19" spans="1:16">
      <c r="A19" s="48" t="s">
        <v>98</v>
      </c>
      <c r="K19" s="35"/>
      <c r="L19" s="35"/>
      <c r="M19" s="35"/>
      <c r="N19" s="35"/>
      <c r="O19" s="35"/>
      <c r="P19" s="76"/>
    </row>
    <row r="20" spans="1:16">
      <c r="A20" s="48" t="s">
        <v>99</v>
      </c>
      <c r="I20" s="33">
        <v>-0.05</v>
      </c>
      <c r="J20" s="33">
        <v>-0.38</v>
      </c>
      <c r="K20" s="35">
        <v>-0.1</v>
      </c>
      <c r="L20" s="35">
        <f>K20</f>
        <v>-0.1</v>
      </c>
      <c r="M20" s="35">
        <f>L20</f>
        <v>-0.1</v>
      </c>
      <c r="N20" s="35">
        <f>M20</f>
        <v>-0.1</v>
      </c>
      <c r="O20" s="35">
        <f>N20</f>
        <v>-0.1</v>
      </c>
      <c r="P20" s="35">
        <f>O20</f>
        <v>-0.1</v>
      </c>
    </row>
    <row r="21" spans="1:16">
      <c r="A21" s="48" t="s">
        <v>100</v>
      </c>
      <c r="B21" s="64">
        <v>2.92</v>
      </c>
      <c r="C21" s="64">
        <v>4.36</v>
      </c>
      <c r="D21" s="64">
        <v>7.16</v>
      </c>
      <c r="E21" s="64">
        <v>9.36</v>
      </c>
      <c r="F21" s="64">
        <v>11.23</v>
      </c>
      <c r="G21" s="33">
        <v>25.76</v>
      </c>
      <c r="H21" s="33">
        <v>2.73</v>
      </c>
      <c r="I21" s="33">
        <v>4.82</v>
      </c>
      <c r="J21" s="33">
        <v>6.46</v>
      </c>
      <c r="K21" s="38">
        <f t="shared" ref="K21:P21" si="8">K6-K7-K8-K9-K10-K11+K14+K15-K18+K20</f>
        <v>7.4578196</v>
      </c>
      <c r="L21" s="38">
        <f t="shared" si="8"/>
        <v>8.271260305</v>
      </c>
      <c r="M21" s="38">
        <f t="shared" si="8"/>
        <v>10.4891544523</v>
      </c>
      <c r="N21" s="38">
        <f t="shared" si="8"/>
        <v>11.860086662296</v>
      </c>
      <c r="O21" s="38">
        <f t="shared" si="8"/>
        <v>14.5668057913283</v>
      </c>
      <c r="P21" s="38">
        <f t="shared" si="8"/>
        <v>16.0484829319749</v>
      </c>
    </row>
    <row r="22" spans="1:16">
      <c r="A22" s="48" t="s">
        <v>101</v>
      </c>
      <c r="B22" s="64">
        <v>0.11</v>
      </c>
      <c r="C22" s="64">
        <v>0.19</v>
      </c>
      <c r="D22" s="64">
        <v>0.15</v>
      </c>
      <c r="E22" s="64">
        <v>0.29</v>
      </c>
      <c r="F22" s="64">
        <v>0.28</v>
      </c>
      <c r="G22" s="33">
        <v>0.38</v>
      </c>
      <c r="H22" s="33">
        <v>0.56</v>
      </c>
      <c r="I22" s="33">
        <v>0.02</v>
      </c>
      <c r="J22" s="33">
        <v>0.02</v>
      </c>
      <c r="K22" s="35"/>
      <c r="L22" s="35"/>
      <c r="M22" s="35"/>
      <c r="N22" s="35"/>
      <c r="O22" s="35"/>
      <c r="P22" s="76"/>
    </row>
    <row r="23" spans="1:16">
      <c r="A23" s="48" t="s">
        <v>102</v>
      </c>
      <c r="B23" s="64">
        <v>0</v>
      </c>
      <c r="C23" s="64">
        <v>0.02</v>
      </c>
      <c r="D23" s="64">
        <v>0.01</v>
      </c>
      <c r="E23" s="64">
        <v>0.04</v>
      </c>
      <c r="F23" s="64">
        <v>0.09</v>
      </c>
      <c r="G23" s="33">
        <v>0.02</v>
      </c>
      <c r="H23" s="33">
        <v>0.39</v>
      </c>
      <c r="I23" s="33">
        <v>0.13</v>
      </c>
      <c r="J23" s="33">
        <v>0.02</v>
      </c>
      <c r="K23" s="35"/>
      <c r="L23" s="35"/>
      <c r="M23" s="35"/>
      <c r="N23" s="35"/>
      <c r="O23" s="35"/>
      <c r="P23" s="76"/>
    </row>
    <row r="24" spans="1:16">
      <c r="A24" s="48" t="s">
        <v>103</v>
      </c>
      <c r="B24" s="64">
        <v>3.02</v>
      </c>
      <c r="C24" s="64">
        <v>4.52</v>
      </c>
      <c r="D24" s="64">
        <v>7.3</v>
      </c>
      <c r="E24" s="64">
        <v>9.61</v>
      </c>
      <c r="F24" s="64">
        <v>11.42</v>
      </c>
      <c r="G24" s="33">
        <v>26.11</v>
      </c>
      <c r="H24" s="33">
        <v>2.91</v>
      </c>
      <c r="I24" s="33">
        <v>4.71</v>
      </c>
      <c r="J24" s="33">
        <v>6.46</v>
      </c>
      <c r="K24" s="38">
        <f t="shared" ref="K24:P24" si="9">K21</f>
        <v>7.4578196</v>
      </c>
      <c r="L24" s="38">
        <f t="shared" si="9"/>
        <v>8.271260305</v>
      </c>
      <c r="M24" s="38">
        <f t="shared" si="9"/>
        <v>10.4891544523</v>
      </c>
      <c r="N24" s="38">
        <f t="shared" si="9"/>
        <v>11.860086662296</v>
      </c>
      <c r="O24" s="38">
        <f t="shared" si="9"/>
        <v>14.5668057913283</v>
      </c>
      <c r="P24" s="38">
        <f t="shared" si="9"/>
        <v>16.0484829319749</v>
      </c>
    </row>
    <row r="25" spans="1:16">
      <c r="A25" s="48" t="s">
        <v>104</v>
      </c>
      <c r="B25" s="64">
        <v>0.53</v>
      </c>
      <c r="C25" s="64">
        <v>0.87</v>
      </c>
      <c r="D25" s="64">
        <v>0.95</v>
      </c>
      <c r="E25" s="64">
        <v>1.41</v>
      </c>
      <c r="F25" s="64">
        <v>2.35</v>
      </c>
      <c r="G25" s="33">
        <v>4.01</v>
      </c>
      <c r="H25" s="33">
        <v>0.75</v>
      </c>
      <c r="I25" s="33">
        <v>0.81</v>
      </c>
      <c r="J25" s="33">
        <v>1.06</v>
      </c>
      <c r="K25" s="38">
        <f t="shared" ref="K25:P25" si="10">K24*K42</f>
        <v>1.342407528</v>
      </c>
      <c r="L25" s="38">
        <f t="shared" si="10"/>
        <v>1.57153945795</v>
      </c>
      <c r="M25" s="38">
        <f t="shared" si="10"/>
        <v>2.09783089046</v>
      </c>
      <c r="N25" s="38">
        <f t="shared" si="10"/>
        <v>2.3720173324592</v>
      </c>
      <c r="O25" s="38">
        <f t="shared" si="10"/>
        <v>2.91336115826566</v>
      </c>
      <c r="P25" s="38">
        <f t="shared" si="10"/>
        <v>3.20969658639498</v>
      </c>
    </row>
    <row r="26" spans="1:16">
      <c r="A26" s="48" t="s">
        <v>105</v>
      </c>
      <c r="B26" s="64">
        <v>2.5</v>
      </c>
      <c r="C26" s="64">
        <v>3.65</v>
      </c>
      <c r="D26" s="64">
        <v>6.35</v>
      </c>
      <c r="E26" s="64">
        <v>8.2</v>
      </c>
      <c r="F26" s="64">
        <v>9.08</v>
      </c>
      <c r="G26" s="33">
        <v>22.1</v>
      </c>
      <c r="H26" s="33">
        <v>2.16</v>
      </c>
      <c r="I26" s="33">
        <v>3.9</v>
      </c>
      <c r="J26" s="33">
        <v>5.4</v>
      </c>
      <c r="K26" s="38">
        <f t="shared" ref="K26:P26" si="11">K24-K25</f>
        <v>6.115412072</v>
      </c>
      <c r="L26" s="38">
        <f t="shared" si="11"/>
        <v>6.69972084705</v>
      </c>
      <c r="M26" s="38">
        <f t="shared" si="11"/>
        <v>8.39132356183999</v>
      </c>
      <c r="N26" s="38">
        <f t="shared" si="11"/>
        <v>9.48806932983681</v>
      </c>
      <c r="O26" s="38">
        <f t="shared" si="11"/>
        <v>11.6534446330627</v>
      </c>
      <c r="P26" s="38">
        <f t="shared" si="11"/>
        <v>12.8387863455799</v>
      </c>
    </row>
    <row r="27" spans="1:16">
      <c r="A27" s="48" t="s">
        <v>106</v>
      </c>
      <c r="B27" s="64">
        <v>2.76</v>
      </c>
      <c r="C27" s="64">
        <v>3.61</v>
      </c>
      <c r="D27" s="64">
        <v>6.21</v>
      </c>
      <c r="E27" s="64">
        <v>8</v>
      </c>
      <c r="F27" s="64">
        <v>8.98</v>
      </c>
      <c r="G27" s="33">
        <v>22.1</v>
      </c>
      <c r="H27" s="33">
        <v>2.16</v>
      </c>
      <c r="I27" s="33">
        <v>3.9</v>
      </c>
      <c r="J27" s="33">
        <v>5.4</v>
      </c>
      <c r="K27" s="38">
        <f t="shared" ref="K27:P27" si="12">K26</f>
        <v>6.115412072</v>
      </c>
      <c r="L27" s="38">
        <f t="shared" si="12"/>
        <v>6.69972084705</v>
      </c>
      <c r="M27" s="38">
        <f t="shared" si="12"/>
        <v>8.39132356183999</v>
      </c>
      <c r="N27" s="38">
        <f t="shared" si="12"/>
        <v>9.48806932983681</v>
      </c>
      <c r="O27" s="38">
        <f t="shared" si="12"/>
        <v>11.6534446330627</v>
      </c>
      <c r="P27" s="38">
        <f t="shared" si="12"/>
        <v>12.8387863455799</v>
      </c>
    </row>
    <row r="28" spans="1:16">
      <c r="A28" s="48" t="s">
        <v>107</v>
      </c>
      <c r="B28" s="64">
        <v>0</v>
      </c>
      <c r="C28" s="64">
        <v>0</v>
      </c>
      <c r="D28" s="64">
        <v>0.08</v>
      </c>
      <c r="E28" s="64">
        <v>0.04</v>
      </c>
      <c r="F28" s="64">
        <v>-0.08</v>
      </c>
      <c r="G28" s="33">
        <v>0.49</v>
      </c>
      <c r="H28" s="33">
        <v>-0.07</v>
      </c>
      <c r="I28" s="33">
        <v>0.39</v>
      </c>
      <c r="J28" s="33">
        <v>0.07</v>
      </c>
      <c r="K28" s="35"/>
      <c r="L28" s="35"/>
      <c r="M28" s="35"/>
      <c r="N28" s="35"/>
      <c r="O28" s="35"/>
      <c r="P28" s="76"/>
    </row>
    <row r="29" spans="1:16">
      <c r="A29" s="48" t="s">
        <v>108</v>
      </c>
      <c r="B29" s="64">
        <v>2.49</v>
      </c>
      <c r="C29" s="64">
        <v>3.65</v>
      </c>
      <c r="D29" s="64">
        <v>6.42</v>
      </c>
      <c r="E29" s="64">
        <v>8.24</v>
      </c>
      <c r="F29" s="64">
        <v>9</v>
      </c>
      <c r="G29" s="33">
        <v>22.59</v>
      </c>
      <c r="H29" s="33">
        <v>2.09</v>
      </c>
      <c r="I29" s="33">
        <v>4.29</v>
      </c>
      <c r="J29" s="33">
        <v>5.48</v>
      </c>
      <c r="K29" s="38">
        <f t="shared" ref="K29:P29" si="13">K27</f>
        <v>6.115412072</v>
      </c>
      <c r="L29" s="38">
        <f t="shared" si="13"/>
        <v>6.69972084705</v>
      </c>
      <c r="M29" s="38">
        <f t="shared" si="13"/>
        <v>8.39132356183999</v>
      </c>
      <c r="N29" s="38">
        <f t="shared" si="13"/>
        <v>9.48806932983681</v>
      </c>
      <c r="O29" s="38">
        <f t="shared" si="13"/>
        <v>11.6534446330627</v>
      </c>
      <c r="P29" s="38">
        <f t="shared" si="13"/>
        <v>12.8387863455799</v>
      </c>
    </row>
    <row r="30" spans="1:16">
      <c r="A30" s="48" t="s">
        <v>109</v>
      </c>
      <c r="B30" s="64">
        <v>-0.26</v>
      </c>
      <c r="C30" s="64">
        <v>0.04</v>
      </c>
      <c r="D30" s="64">
        <v>0.13</v>
      </c>
      <c r="E30" s="64">
        <v>0.2</v>
      </c>
      <c r="F30" s="64">
        <v>0.1</v>
      </c>
      <c r="G30" s="33">
        <v>0</v>
      </c>
      <c r="K30" s="35"/>
      <c r="L30" s="35"/>
      <c r="M30" s="35"/>
      <c r="N30" s="35"/>
      <c r="O30" s="35"/>
      <c r="P30" s="76"/>
    </row>
    <row r="31" spans="1:16">
      <c r="A31" s="48" t="s">
        <v>110</v>
      </c>
      <c r="B31" s="64">
        <v>2.75</v>
      </c>
      <c r="C31" s="64">
        <v>3.61</v>
      </c>
      <c r="D31" s="64">
        <v>6.29</v>
      </c>
      <c r="E31" s="64">
        <v>8.04</v>
      </c>
      <c r="F31" s="64">
        <v>8.9</v>
      </c>
      <c r="G31" s="33">
        <v>22.59</v>
      </c>
      <c r="H31" s="33">
        <v>2.09</v>
      </c>
      <c r="I31" s="33">
        <v>4.29</v>
      </c>
      <c r="J31" s="33">
        <v>5.48</v>
      </c>
      <c r="K31" s="38">
        <f t="shared" ref="K31:P31" si="14">K29</f>
        <v>6.115412072</v>
      </c>
      <c r="L31" s="38">
        <f t="shared" si="14"/>
        <v>6.69972084705</v>
      </c>
      <c r="M31" s="38">
        <f t="shared" si="14"/>
        <v>8.39132356183999</v>
      </c>
      <c r="N31" s="38">
        <f t="shared" si="14"/>
        <v>9.48806932983681</v>
      </c>
      <c r="O31" s="38">
        <f t="shared" si="14"/>
        <v>11.6534446330627</v>
      </c>
      <c r="P31" s="38">
        <f t="shared" si="14"/>
        <v>12.8387863455799</v>
      </c>
    </row>
    <row r="32" spans="1:16">
      <c r="A32" s="48" t="s">
        <v>111</v>
      </c>
      <c r="K32" s="35"/>
      <c r="L32" s="35"/>
      <c r="M32" s="35"/>
      <c r="N32" s="35"/>
      <c r="O32" s="35"/>
      <c r="P32" s="76"/>
    </row>
    <row r="33" spans="1:16">
      <c r="A33" s="48" t="s">
        <v>112</v>
      </c>
      <c r="B33" s="69">
        <v>0.65</v>
      </c>
      <c r="C33" s="69">
        <v>0.85</v>
      </c>
      <c r="D33" s="69">
        <v>1.41</v>
      </c>
      <c r="E33" s="69">
        <v>1.19</v>
      </c>
      <c r="F33" s="69">
        <v>1.34</v>
      </c>
      <c r="G33" s="70">
        <v>3.31</v>
      </c>
      <c r="H33" s="70">
        <v>0.32</v>
      </c>
      <c r="I33" s="70">
        <v>0.58</v>
      </c>
      <c r="J33" s="70">
        <v>0.81</v>
      </c>
      <c r="K33" s="38">
        <f t="shared" ref="K33:P33" si="15">K31/6.71</f>
        <v>0.911387790163934</v>
      </c>
      <c r="L33" s="38">
        <f t="shared" si="15"/>
        <v>0.998468084508197</v>
      </c>
      <c r="M33" s="38">
        <f t="shared" si="15"/>
        <v>1.25056983037854</v>
      </c>
      <c r="N33" s="38">
        <f t="shared" si="15"/>
        <v>1.41401927419327</v>
      </c>
      <c r="O33" s="38">
        <f t="shared" si="15"/>
        <v>1.73672796319861</v>
      </c>
      <c r="P33" s="38">
        <f t="shared" si="15"/>
        <v>1.91338097549627</v>
      </c>
    </row>
    <row r="34" spans="1:10">
      <c r="A34" s="48"/>
      <c r="B34" s="1"/>
      <c r="C34" s="1"/>
      <c r="D34" s="1"/>
      <c r="E34" s="1"/>
      <c r="F34" s="1"/>
      <c r="G34" s="32"/>
      <c r="H34" s="32"/>
      <c r="I34" s="32"/>
      <c r="J34" s="32"/>
    </row>
    <row r="35" spans="1:10">
      <c r="A35" s="48"/>
      <c r="B35" s="1"/>
      <c r="C35" s="1"/>
      <c r="D35" s="1"/>
      <c r="E35" s="1"/>
      <c r="F35" s="1"/>
      <c r="G35" s="32"/>
      <c r="H35" s="32"/>
      <c r="I35" s="32"/>
      <c r="J35" s="32"/>
    </row>
    <row r="36" spans="1:10">
      <c r="A36" s="48" t="s">
        <v>113</v>
      </c>
      <c r="B36" s="1"/>
      <c r="C36" s="1"/>
      <c r="D36" s="1"/>
      <c r="E36" s="1"/>
      <c r="F36" s="1"/>
      <c r="G36" s="32"/>
      <c r="H36" s="32"/>
      <c r="I36" s="32"/>
      <c r="J36" s="32"/>
    </row>
    <row r="37" spans="1:16">
      <c r="A37" s="48" t="s">
        <v>114</v>
      </c>
      <c r="B37" s="1"/>
      <c r="C37" s="1"/>
      <c r="D37" s="1"/>
      <c r="E37" s="1"/>
      <c r="F37" s="1"/>
      <c r="G37" s="55">
        <f>G7/G2</f>
        <v>0.00906602805336983</v>
      </c>
      <c r="H37" s="55">
        <f>H7/H2</f>
        <v>0.0103364029317797</v>
      </c>
      <c r="I37" s="55">
        <f>I7/I2</f>
        <v>0.00893958076448829</v>
      </c>
      <c r="J37" s="55">
        <f>J7/J2</f>
        <v>0.00784533482768283</v>
      </c>
      <c r="K37" s="55">
        <f>0.9%</f>
        <v>0.009</v>
      </c>
      <c r="L37" s="55">
        <f>K37</f>
        <v>0.009</v>
      </c>
      <c r="M37" s="55">
        <f>L37</f>
        <v>0.009</v>
      </c>
      <c r="N37" s="55">
        <f>M37</f>
        <v>0.009</v>
      </c>
      <c r="O37" s="55">
        <f>N37</f>
        <v>0.009</v>
      </c>
      <c r="P37" s="55">
        <f>O37</f>
        <v>0.009</v>
      </c>
    </row>
    <row r="38" spans="1:16">
      <c r="A38" s="48" t="s">
        <v>115</v>
      </c>
      <c r="B38" s="1"/>
      <c r="C38" s="1"/>
      <c r="D38" s="1"/>
      <c r="E38" s="1"/>
      <c r="F38" s="1"/>
      <c r="G38" s="55">
        <f>G8/G2</f>
        <v>0.348101265822785</v>
      </c>
      <c r="H38" s="55">
        <f>H8/H2</f>
        <v>0.448036083442962</v>
      </c>
      <c r="I38" s="55">
        <f>I8/I2</f>
        <v>0.428175092478422</v>
      </c>
      <c r="J38" s="55">
        <f>J8/J2</f>
        <v>0.406416363126926</v>
      </c>
      <c r="K38" s="55">
        <v>0.385</v>
      </c>
      <c r="L38" s="55">
        <f>K38-1%</f>
        <v>0.375</v>
      </c>
      <c r="M38" s="55">
        <f>L38-1%</f>
        <v>0.365</v>
      </c>
      <c r="N38" s="55">
        <f>M38</f>
        <v>0.365</v>
      </c>
      <c r="O38" s="55">
        <f>N38</f>
        <v>0.365</v>
      </c>
      <c r="P38" s="55">
        <f>O38</f>
        <v>0.365</v>
      </c>
    </row>
    <row r="39" spans="1:16">
      <c r="A39" s="48" t="s">
        <v>116</v>
      </c>
      <c r="C39" s="1"/>
      <c r="D39" s="1"/>
      <c r="E39" s="1"/>
      <c r="F39" s="1"/>
      <c r="G39" s="55">
        <f>G9/G2</f>
        <v>0.103489565514882</v>
      </c>
      <c r="H39" s="55">
        <f>H9/H2</f>
        <v>0.121593685397482</v>
      </c>
      <c r="I39" s="55">
        <f>I9/I2</f>
        <v>0.154747225647349</v>
      </c>
      <c r="J39" s="55">
        <f>J9/J2</f>
        <v>0.123704118800785</v>
      </c>
      <c r="K39" s="58">
        <v>0.124</v>
      </c>
      <c r="L39" s="55">
        <f>K39</f>
        <v>0.124</v>
      </c>
      <c r="M39" s="55">
        <f>L39</f>
        <v>0.124</v>
      </c>
      <c r="N39" s="55">
        <f>M39</f>
        <v>0.124</v>
      </c>
      <c r="O39" s="55">
        <f>N39</f>
        <v>0.124</v>
      </c>
      <c r="P39" s="55">
        <f>O39</f>
        <v>0.124</v>
      </c>
    </row>
    <row r="40" spans="1:16">
      <c r="A40" s="48" t="s">
        <v>117</v>
      </c>
      <c r="B40" s="1"/>
      <c r="C40" s="1"/>
      <c r="D40" s="1"/>
      <c r="E40" s="1"/>
      <c r="F40" s="1"/>
      <c r="G40" s="55">
        <f>G10/G2</f>
        <v>0.0224084844338009</v>
      </c>
      <c r="H40" s="55">
        <f>H10/H2</f>
        <v>0.023491824844954</v>
      </c>
      <c r="I40" s="55">
        <f>I10/I2</f>
        <v>0.0248150431565968</v>
      </c>
      <c r="J40" s="55">
        <f>J10/J2</f>
        <v>0.0235360044830485</v>
      </c>
      <c r="K40" s="55">
        <f>2.4%</f>
        <v>0.024</v>
      </c>
      <c r="L40" s="55">
        <f>K40</f>
        <v>0.024</v>
      </c>
      <c r="M40" s="55">
        <f>L40</f>
        <v>0.024</v>
      </c>
      <c r="N40" s="55">
        <f>M40</f>
        <v>0.024</v>
      </c>
      <c r="O40" s="55">
        <f>N40</f>
        <v>0.024</v>
      </c>
      <c r="P40" s="55">
        <f>O40</f>
        <v>0.024</v>
      </c>
    </row>
    <row r="41" spans="1:16">
      <c r="A41" s="48" t="s">
        <v>118</v>
      </c>
      <c r="G41" s="6">
        <f>G11/G2</f>
        <v>-0.00838179952104003</v>
      </c>
      <c r="H41" s="6">
        <f>H11/H2</f>
        <v>-0.0129674873144146</v>
      </c>
      <c r="I41" s="6">
        <f>I11/I2</f>
        <v>0.00462392108508015</v>
      </c>
      <c r="J41" s="6">
        <f>J11/J2</f>
        <v>0.00854581115158308</v>
      </c>
      <c r="K41" s="77">
        <v>0.006</v>
      </c>
      <c r="L41" s="77">
        <v>0.005</v>
      </c>
      <c r="M41" s="28">
        <v>0</v>
      </c>
      <c r="N41" s="28">
        <v>0</v>
      </c>
      <c r="O41" s="28">
        <v>0</v>
      </c>
      <c r="P41" s="78">
        <v>0</v>
      </c>
    </row>
    <row r="42" spans="1:16">
      <c r="A42" s="48" t="s">
        <v>119</v>
      </c>
      <c r="G42" s="6">
        <f>G25/G24</f>
        <v>0.153581003446955</v>
      </c>
      <c r="H42" s="6">
        <f>H25/H24</f>
        <v>0.257731958762887</v>
      </c>
      <c r="I42" s="6">
        <f>I25/I24</f>
        <v>0.171974522292994</v>
      </c>
      <c r="J42" s="6">
        <f>J25/J24</f>
        <v>0.164086687306502</v>
      </c>
      <c r="K42" s="79">
        <v>0.18</v>
      </c>
      <c r="L42" s="79">
        <v>0.19</v>
      </c>
      <c r="M42" s="79">
        <v>0.2</v>
      </c>
      <c r="N42" s="79">
        <v>0.2</v>
      </c>
      <c r="O42" s="79">
        <v>0.2</v>
      </c>
      <c r="P42" s="80">
        <v>0.2</v>
      </c>
    </row>
    <row r="43" spans="1:10">
      <c r="A43" s="48"/>
      <c r="G43"/>
      <c r="H43"/>
      <c r="I43"/>
      <c r="J43"/>
    </row>
    <row r="44" spans="1:10">
      <c r="A44" s="48"/>
      <c r="B44" s="1"/>
      <c r="C44" s="1"/>
      <c r="D44" s="1"/>
      <c r="E44" s="1"/>
      <c r="F44" s="1"/>
      <c r="G44"/>
      <c r="H44"/>
      <c r="I44"/>
      <c r="J44"/>
    </row>
    <row r="45" spans="1:16">
      <c r="A45" s="48" t="s">
        <v>120</v>
      </c>
      <c r="B45" s="1"/>
      <c r="C45" s="1"/>
      <c r="D45" s="1"/>
      <c r="E45" s="1"/>
      <c r="F45" s="1"/>
      <c r="G45" s="48">
        <f>CS!G34</f>
        <v>-4.23</v>
      </c>
      <c r="H45" s="48">
        <f>CS!H34</f>
        <v>-6.64</v>
      </c>
      <c r="I45" s="48">
        <f>CS!I34</f>
        <v>-1.28</v>
      </c>
      <c r="J45" s="48">
        <f>CS!J34</f>
        <v>-1.77</v>
      </c>
      <c r="K45" s="37">
        <f t="shared" ref="K45:P45" si="16">K27*K46</f>
        <v>2.005855159616</v>
      </c>
      <c r="L45" s="37">
        <f t="shared" si="16"/>
        <v>2.1975084378324</v>
      </c>
      <c r="M45" s="37">
        <f t="shared" si="16"/>
        <v>2.75235412828352</v>
      </c>
      <c r="N45" s="37">
        <f t="shared" si="16"/>
        <v>3.11208674018647</v>
      </c>
      <c r="O45" s="37">
        <f t="shared" si="16"/>
        <v>3.82232983964455</v>
      </c>
      <c r="P45" s="37">
        <f t="shared" si="16"/>
        <v>4.21112192135022</v>
      </c>
    </row>
    <row r="46" spans="1:16">
      <c r="A46" s="47" t="s">
        <v>121</v>
      </c>
      <c r="G46" s="48"/>
      <c r="H46" s="48"/>
      <c r="I46" s="81">
        <f>I45/I27</f>
        <v>-0.328205128205128</v>
      </c>
      <c r="J46" s="81">
        <f>J45/J27</f>
        <v>-0.327777777777778</v>
      </c>
      <c r="K46" s="29" t="s">
        <v>122</v>
      </c>
      <c r="L46" s="32" t="str">
        <f>K46</f>
        <v>32.8%</v>
      </c>
      <c r="M46" s="32" t="str">
        <f>L46</f>
        <v>32.8%</v>
      </c>
      <c r="N46" s="32" t="str">
        <f>M46</f>
        <v>32.8%</v>
      </c>
      <c r="O46" s="32" t="str">
        <f>N46</f>
        <v>32.8%</v>
      </c>
      <c r="P46" s="32" t="str">
        <f>O46</f>
        <v>32.8%</v>
      </c>
    </row>
    <row r="47" spans="7:10">
      <c r="G47"/>
      <c r="H47"/>
      <c r="I47"/>
      <c r="J47"/>
    </row>
    <row r="48" spans="7:10">
      <c r="G48"/>
      <c r="H48"/>
      <c r="I48"/>
      <c r="J48"/>
    </row>
    <row r="49" spans="7:10">
      <c r="G49"/>
      <c r="H49"/>
      <c r="I49"/>
      <c r="J49"/>
    </row>
    <row r="60" spans="1:1">
      <c r="A60" s="48" t="s">
        <v>123</v>
      </c>
    </row>
    <row r="61" spans="1:1">
      <c r="A61" s="54" t="s">
        <v>124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封面</vt:lpstr>
      <vt:lpstr>DCF估值结果 </vt:lpstr>
      <vt:lpstr>业务模型</vt:lpstr>
      <vt:lpstr>行业1</vt:lpstr>
      <vt:lpstr>行业2</vt:lpstr>
      <vt:lpstr>2017</vt:lpstr>
      <vt:lpstr>2018</vt:lpstr>
      <vt:lpstr>生产产能</vt:lpstr>
      <vt:lpstr>IS</vt:lpstr>
      <vt:lpstr>资产负债表假设</vt:lpstr>
      <vt:lpstr>资本开支假设</vt:lpstr>
      <vt:lpstr>BS</vt:lpstr>
      <vt:lpstr>CS</vt:lpstr>
      <vt:lpstr>DCF估值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LONG</cp:lastModifiedBy>
  <dcterms:created xsi:type="dcterms:W3CDTF">2020-01-02T13:21:00Z</dcterms:created>
  <dcterms:modified xsi:type="dcterms:W3CDTF">2020-01-07T06:33:19Z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2052-11.1.0.9339</vt:lpwstr>
  </property>
</Properties>
</file>