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always"/>
  <mc:AlternateContent xmlns:mc="http://schemas.openxmlformats.org/markup-compatibility/2006">
    <mc:Choice Requires="x15">
      <x15ac:absPath xmlns:x15ac="http://schemas.microsoft.com/office/spreadsheetml/2010/11/ac" url="C:\Users\63175\Desktop\"/>
    </mc:Choice>
  </mc:AlternateContent>
  <xr:revisionPtr revIDLastSave="0" documentId="13_ncr:1_{EEA254A0-C75A-4141-AC8F-74B58CBDD621}" xr6:coauthVersionLast="45" xr6:coauthVersionMax="45" xr10:uidLastSave="{00000000-0000-0000-0000-000000000000}"/>
  <bookViews>
    <workbookView xWindow="-120" yWindow="-120" windowWidth="20730" windowHeight="11160" tabRatio="900" xr2:uid="{00000000-000D-0000-FFFF-FFFF00000000}"/>
  </bookViews>
  <sheets>
    <sheet name="封面" sheetId="45" r:id="rId1"/>
    <sheet name="使用说明" sheetId="25" r:id="rId2"/>
    <sheet name="Sheet1" sheetId="46" state="hidden" r:id="rId3"/>
    <sheet name="业务模型" sheetId="40" r:id="rId4"/>
    <sheet name="利润表" sheetId="41" r:id="rId5"/>
    <sheet name="资产负债表" sheetId="44" r:id="rId6"/>
    <sheet name="现金流量表" sheetId="43" r:id="rId7"/>
    <sheet name="资产负债假设" sheetId="14" r:id="rId8"/>
    <sheet name="资本开支假设" sheetId="30" r:id="rId9"/>
    <sheet name="BS" sheetId="3" r:id="rId10"/>
    <sheet name="CS" sheetId="32" r:id="rId11"/>
    <sheet name="IS" sheetId="1" r:id="rId12"/>
    <sheet name="DCF估值" sheetId="16" r:id="rId13"/>
    <sheet name="DCF估值结果" sheetId="23" r:id="rId14"/>
  </sheets>
  <externalReferences>
    <externalReference r:id="rId15"/>
  </externalReferences>
  <definedNames>
    <definedName name="cww">#REF!</definedName>
    <definedName name="g">[1]DCF!$F$38</definedName>
    <definedName name="WACC">[1]DCF!$F$19</definedName>
    <definedName name="使用说明" localSheetId="10">#REF!</definedName>
    <definedName name="使用说明" localSheetId="0">#REF!</definedName>
    <definedName name="使用说明">#REF!</definedName>
    <definedName name="一使用说明" localSheetId="10">#REF!</definedName>
    <definedName name="一使用说明" localSheetId="0">#REF!</definedName>
    <definedName name="一使用说明">#REF!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6" l="1"/>
  <c r="F22" i="16"/>
  <c r="G22" i="16"/>
  <c r="H22" i="16"/>
  <c r="I22" i="16" s="1"/>
  <c r="J22" i="16" s="1"/>
  <c r="E22" i="16"/>
  <c r="D22" i="16"/>
  <c r="D30" i="16" l="1"/>
  <c r="G17" i="40"/>
  <c r="H17" i="40"/>
  <c r="I17" i="40"/>
  <c r="J17" i="40"/>
  <c r="F17" i="40"/>
  <c r="F32" i="40"/>
  <c r="G32" i="40"/>
  <c r="H32" i="40"/>
  <c r="I32" i="40"/>
  <c r="J32" i="40"/>
  <c r="F47" i="40"/>
  <c r="G47" i="40"/>
  <c r="H47" i="40"/>
  <c r="I47" i="40"/>
  <c r="J47" i="40"/>
  <c r="F62" i="40"/>
  <c r="G62" i="40"/>
  <c r="H62" i="40"/>
  <c r="I62" i="40"/>
  <c r="J62" i="40"/>
  <c r="G45" i="40" l="1"/>
  <c r="H45" i="40"/>
  <c r="I45" i="40"/>
  <c r="J45" i="40"/>
  <c r="F45" i="40"/>
  <c r="C82" i="40"/>
  <c r="C83" i="40" s="1"/>
  <c r="D82" i="40"/>
  <c r="D83" i="40" s="1"/>
  <c r="E82" i="40"/>
  <c r="E83" i="40" s="1"/>
  <c r="B82" i="40"/>
  <c r="B83" i="40" s="1"/>
  <c r="C79" i="40"/>
  <c r="C80" i="40" s="1"/>
  <c r="D79" i="40"/>
  <c r="D80" i="40" s="1"/>
  <c r="E79" i="40"/>
  <c r="E80" i="40" s="1"/>
  <c r="B79" i="40"/>
  <c r="B80" i="40" s="1"/>
  <c r="C76" i="40"/>
  <c r="C77" i="40" s="1"/>
  <c r="D76" i="40"/>
  <c r="D77" i="40" s="1"/>
  <c r="E76" i="40"/>
  <c r="E77" i="40" s="1"/>
  <c r="B76" i="40"/>
  <c r="B77" i="40" s="1"/>
  <c r="F46" i="16" l="1"/>
  <c r="D32" i="16"/>
  <c r="D16" i="16"/>
  <c r="E15" i="16"/>
  <c r="F15" i="16"/>
  <c r="G15" i="16"/>
  <c r="H15" i="16"/>
  <c r="I15" i="16"/>
  <c r="D15" i="16"/>
  <c r="D14" i="16"/>
  <c r="D9" i="16"/>
  <c r="D8" i="16"/>
  <c r="D7" i="16"/>
  <c r="E56" i="3"/>
  <c r="F56" i="3"/>
  <c r="G56" i="3"/>
  <c r="I109" i="32"/>
  <c r="I104" i="32"/>
  <c r="M100" i="32"/>
  <c r="I95" i="32" l="1"/>
  <c r="I90" i="32"/>
  <c r="I50" i="14"/>
  <c r="I84" i="32"/>
  <c r="I15" i="3"/>
  <c r="J15" i="3" s="1"/>
  <c r="K15" i="3" s="1"/>
  <c r="L15" i="3" s="1"/>
  <c r="H15" i="3"/>
  <c r="J51" i="32"/>
  <c r="K51" i="32"/>
  <c r="L51" i="32"/>
  <c r="M51" i="32"/>
  <c r="I51" i="32"/>
  <c r="J50" i="32"/>
  <c r="K50" i="32"/>
  <c r="L50" i="32"/>
  <c r="M50" i="32"/>
  <c r="I50" i="32"/>
  <c r="J43" i="32"/>
  <c r="K43" i="32"/>
  <c r="L43" i="32"/>
  <c r="M43" i="32"/>
  <c r="I43" i="32"/>
  <c r="J39" i="32"/>
  <c r="K39" i="32"/>
  <c r="L39" i="32"/>
  <c r="M39" i="32"/>
  <c r="I39" i="32"/>
  <c r="N36" i="32"/>
  <c r="O36" i="32"/>
  <c r="P36" i="32"/>
  <c r="Q36" i="32"/>
  <c r="J17" i="32"/>
  <c r="K17" i="32"/>
  <c r="L17" i="32"/>
  <c r="M17" i="32"/>
  <c r="I17" i="32"/>
  <c r="E59" i="3" l="1"/>
  <c r="F59" i="3"/>
  <c r="G59" i="3"/>
  <c r="D59" i="3"/>
  <c r="D58" i="3"/>
  <c r="E58" i="3"/>
  <c r="F58" i="3"/>
  <c r="G58" i="3"/>
  <c r="D56" i="3"/>
  <c r="I53" i="3"/>
  <c r="J53" i="3" s="1"/>
  <c r="H53" i="3"/>
  <c r="J45" i="3"/>
  <c r="K45" i="3" s="1"/>
  <c r="L45" i="3" s="1"/>
  <c r="I45" i="3"/>
  <c r="H45" i="3"/>
  <c r="I29" i="3"/>
  <c r="J29" i="3" s="1"/>
  <c r="K29" i="3" s="1"/>
  <c r="L29" i="3" s="1"/>
  <c r="H29" i="3"/>
  <c r="I28" i="3"/>
  <c r="J28" i="3" s="1"/>
  <c r="K28" i="3" s="1"/>
  <c r="L28" i="3" s="1"/>
  <c r="H28" i="3"/>
  <c r="I27" i="3"/>
  <c r="J27" i="3"/>
  <c r="K27" i="3" s="1"/>
  <c r="L27" i="3" s="1"/>
  <c r="H27" i="3"/>
  <c r="I26" i="3"/>
  <c r="J26" i="3" s="1"/>
  <c r="K26" i="3" s="1"/>
  <c r="L26" i="3" s="1"/>
  <c r="H26" i="3"/>
  <c r="I19" i="3"/>
  <c r="J19" i="3" s="1"/>
  <c r="K19" i="3" s="1"/>
  <c r="L19" i="3" s="1"/>
  <c r="H19" i="3"/>
  <c r="I17" i="3"/>
  <c r="J17" i="3"/>
  <c r="K17" i="3"/>
  <c r="L17" i="3"/>
  <c r="H17" i="3"/>
  <c r="I11" i="3"/>
  <c r="J11" i="3"/>
  <c r="K11" i="3"/>
  <c r="L11" i="3"/>
  <c r="H11" i="3"/>
  <c r="E65" i="30"/>
  <c r="F65" i="30"/>
  <c r="E62" i="30"/>
  <c r="F62" i="30"/>
  <c r="E63" i="30"/>
  <c r="F63" i="30"/>
  <c r="G63" i="30"/>
  <c r="H63" i="30"/>
  <c r="I63" i="30"/>
  <c r="J63" i="30"/>
  <c r="K63" i="30"/>
  <c r="E55" i="30"/>
  <c r="F55" i="30"/>
  <c r="D55" i="30"/>
  <c r="E54" i="30"/>
  <c r="F54" i="30"/>
  <c r="D54" i="30"/>
  <c r="K53" i="3" l="1"/>
  <c r="K8" i="30"/>
  <c r="J8" i="30"/>
  <c r="I8" i="30"/>
  <c r="H8" i="30"/>
  <c r="G8" i="30"/>
  <c r="E32" i="30"/>
  <c r="F32" i="30"/>
  <c r="D32" i="30"/>
  <c r="E35" i="30"/>
  <c r="F35" i="30"/>
  <c r="D35" i="30"/>
  <c r="E29" i="30"/>
  <c r="F29" i="30"/>
  <c r="D29" i="30"/>
  <c r="H7" i="30"/>
  <c r="J37" i="32" s="1"/>
  <c r="I7" i="30"/>
  <c r="K37" i="32" s="1"/>
  <c r="J7" i="30"/>
  <c r="L37" i="32" s="1"/>
  <c r="K7" i="30"/>
  <c r="M37" i="32" s="1"/>
  <c r="G7" i="30"/>
  <c r="I37" i="32" s="1"/>
  <c r="E22" i="30"/>
  <c r="F22" i="30"/>
  <c r="D22" i="30"/>
  <c r="E19" i="30"/>
  <c r="F19" i="30"/>
  <c r="D19" i="30"/>
  <c r="E16" i="30"/>
  <c r="F16" i="30"/>
  <c r="D16" i="30"/>
  <c r="L53" i="3" l="1"/>
  <c r="F42" i="1"/>
  <c r="G42" i="1"/>
  <c r="E42" i="1"/>
  <c r="E41" i="1"/>
  <c r="F41" i="1"/>
  <c r="G41" i="1"/>
  <c r="E40" i="1"/>
  <c r="F40" i="1"/>
  <c r="G40" i="1"/>
  <c r="D40" i="1"/>
  <c r="E39" i="1"/>
  <c r="F39" i="1"/>
  <c r="G39" i="1"/>
  <c r="D39" i="1"/>
  <c r="H30" i="1"/>
  <c r="E41" i="14"/>
  <c r="F41" i="14"/>
  <c r="G41" i="14"/>
  <c r="D41" i="14"/>
  <c r="K35" i="14"/>
  <c r="L35" i="14" s="1"/>
  <c r="M35" i="14" s="1"/>
  <c r="J35" i="14"/>
  <c r="I35" i="14"/>
  <c r="G34" i="14"/>
  <c r="E34" i="14"/>
  <c r="F34" i="14"/>
  <c r="D34" i="14"/>
  <c r="E7" i="32"/>
  <c r="F7" i="32"/>
  <c r="G7" i="32"/>
  <c r="H7" i="32"/>
  <c r="E8" i="32"/>
  <c r="F8" i="32"/>
  <c r="G8" i="32"/>
  <c r="H8" i="32"/>
  <c r="E9" i="32"/>
  <c r="F9" i="32"/>
  <c r="G9" i="32"/>
  <c r="H9" i="32"/>
  <c r="E10" i="32"/>
  <c r="F10" i="32"/>
  <c r="G10" i="32"/>
  <c r="H10" i="32"/>
  <c r="E11" i="32"/>
  <c r="F11" i="32"/>
  <c r="G11" i="32"/>
  <c r="H11" i="32"/>
  <c r="E12" i="32"/>
  <c r="F12" i="32"/>
  <c r="G12" i="32"/>
  <c r="H12" i="32"/>
  <c r="E13" i="32"/>
  <c r="F13" i="32"/>
  <c r="G13" i="32"/>
  <c r="H13" i="32"/>
  <c r="E14" i="32"/>
  <c r="F14" i="32"/>
  <c r="G14" i="32"/>
  <c r="H14" i="32"/>
  <c r="E15" i="32"/>
  <c r="F15" i="32"/>
  <c r="G15" i="32"/>
  <c r="H15" i="32"/>
  <c r="E16" i="32"/>
  <c r="F16" i="32"/>
  <c r="G16" i="32"/>
  <c r="H16" i="32"/>
  <c r="E17" i="32"/>
  <c r="F17" i="32"/>
  <c r="G17" i="32"/>
  <c r="H17" i="32"/>
  <c r="E18" i="32"/>
  <c r="F18" i="32"/>
  <c r="G18" i="32"/>
  <c r="H18" i="32"/>
  <c r="E19" i="32"/>
  <c r="F19" i="32"/>
  <c r="G19" i="32"/>
  <c r="H19" i="32"/>
  <c r="E20" i="32"/>
  <c r="F20" i="32"/>
  <c r="G20" i="32"/>
  <c r="H20" i="32"/>
  <c r="E21" i="32"/>
  <c r="F21" i="32"/>
  <c r="G21" i="32"/>
  <c r="H21" i="32"/>
  <c r="E22" i="32"/>
  <c r="F22" i="32"/>
  <c r="G22" i="32"/>
  <c r="H22" i="32"/>
  <c r="E27" i="32"/>
  <c r="F27" i="32"/>
  <c r="G27" i="32"/>
  <c r="H27" i="32"/>
  <c r="E23" i="32"/>
  <c r="F23" i="32"/>
  <c r="G23" i="32"/>
  <c r="H23" i="32"/>
  <c r="E24" i="32"/>
  <c r="F24" i="32"/>
  <c r="G24" i="32"/>
  <c r="H24" i="32"/>
  <c r="E30" i="32"/>
  <c r="F30" i="32"/>
  <c r="G30" i="32"/>
  <c r="H30" i="32"/>
  <c r="E28" i="32"/>
  <c r="F28" i="32"/>
  <c r="G28" i="32"/>
  <c r="H28" i="32"/>
  <c r="E31" i="32"/>
  <c r="F31" i="32"/>
  <c r="G31" i="32"/>
  <c r="H31" i="32"/>
  <c r="E26" i="32"/>
  <c r="F26" i="32"/>
  <c r="G26" i="32"/>
  <c r="H26" i="32"/>
  <c r="E25" i="32"/>
  <c r="F25" i="32"/>
  <c r="G25" i="32"/>
  <c r="H25" i="32"/>
  <c r="E32" i="32"/>
  <c r="F32" i="32"/>
  <c r="G32" i="32"/>
  <c r="H32" i="32"/>
  <c r="E33" i="32"/>
  <c r="F33" i="32"/>
  <c r="G33" i="32"/>
  <c r="H33" i="32"/>
  <c r="E29" i="32"/>
  <c r="F29" i="32"/>
  <c r="G29" i="32"/>
  <c r="H29" i="32"/>
  <c r="E34" i="32"/>
  <c r="F34" i="32"/>
  <c r="G34" i="32"/>
  <c r="H34" i="32"/>
  <c r="E35" i="32"/>
  <c r="F35" i="32"/>
  <c r="G35" i="32"/>
  <c r="H35" i="32"/>
  <c r="E36" i="32"/>
  <c r="F36" i="32"/>
  <c r="G36" i="32"/>
  <c r="H36" i="32"/>
  <c r="E37" i="32"/>
  <c r="F37" i="32"/>
  <c r="G37" i="32"/>
  <c r="H37" i="32"/>
  <c r="E41" i="32"/>
  <c r="F41" i="32"/>
  <c r="G41" i="32"/>
  <c r="H41" i="32"/>
  <c r="E51" i="32"/>
  <c r="F51" i="32"/>
  <c r="G51" i="32"/>
  <c r="H51" i="32"/>
  <c r="E45" i="32"/>
  <c r="F45" i="32"/>
  <c r="G45" i="32"/>
  <c r="H45" i="32"/>
  <c r="E38" i="32"/>
  <c r="F38" i="32"/>
  <c r="G38" i="32"/>
  <c r="H38" i="32"/>
  <c r="E50" i="32"/>
  <c r="F50" i="32"/>
  <c r="G50" i="32"/>
  <c r="H50" i="32"/>
  <c r="E57" i="32"/>
  <c r="F57" i="32"/>
  <c r="G57" i="32"/>
  <c r="H57" i="32"/>
  <c r="E54" i="32"/>
  <c r="F54" i="32"/>
  <c r="G54" i="32"/>
  <c r="H54" i="32"/>
  <c r="E46" i="32"/>
  <c r="F46" i="32"/>
  <c r="G46" i="32"/>
  <c r="H46" i="32"/>
  <c r="E55" i="32"/>
  <c r="F55" i="32"/>
  <c r="G55" i="32"/>
  <c r="H55" i="32"/>
  <c r="E56" i="32"/>
  <c r="F56" i="32"/>
  <c r="G56" i="32"/>
  <c r="H56" i="32"/>
  <c r="E53" i="32"/>
  <c r="F53" i="32"/>
  <c r="G53" i="32"/>
  <c r="H53" i="32"/>
  <c r="E52" i="32"/>
  <c r="F52" i="32"/>
  <c r="G52" i="32"/>
  <c r="H52" i="32"/>
  <c r="E42" i="32"/>
  <c r="F42" i="32"/>
  <c r="G42" i="32"/>
  <c r="H42" i="32"/>
  <c r="E40" i="32"/>
  <c r="F40" i="32"/>
  <c r="G40" i="32"/>
  <c r="H40" i="32"/>
  <c r="E60" i="32"/>
  <c r="F60" i="32"/>
  <c r="G60" i="32"/>
  <c r="H60" i="32"/>
  <c r="E48" i="32"/>
  <c r="F48" i="32"/>
  <c r="G48" i="32"/>
  <c r="H48" i="32"/>
  <c r="E47" i="32"/>
  <c r="F47" i="32"/>
  <c r="G47" i="32"/>
  <c r="H47" i="32"/>
  <c r="E49" i="32"/>
  <c r="F49" i="32"/>
  <c r="G49" i="32"/>
  <c r="H49" i="32"/>
  <c r="E62" i="32"/>
  <c r="F62" i="32"/>
  <c r="G62" i="32"/>
  <c r="H62" i="32"/>
  <c r="E59" i="32"/>
  <c r="F59" i="32"/>
  <c r="G59" i="32"/>
  <c r="H59" i="32"/>
  <c r="E39" i="32"/>
  <c r="F39" i="32"/>
  <c r="G39" i="32"/>
  <c r="H39" i="32"/>
  <c r="E61" i="32"/>
  <c r="F61" i="32"/>
  <c r="G61" i="32"/>
  <c r="H61" i="32"/>
  <c r="E63" i="32"/>
  <c r="F63" i="32"/>
  <c r="G63" i="32"/>
  <c r="H63" i="32"/>
  <c r="E64" i="32"/>
  <c r="F64" i="32"/>
  <c r="G64" i="32"/>
  <c r="H64" i="32"/>
  <c r="E65" i="32"/>
  <c r="F65" i="32"/>
  <c r="G65" i="32"/>
  <c r="H65" i="32"/>
  <c r="E58" i="32"/>
  <c r="F58" i="32"/>
  <c r="G58" i="32"/>
  <c r="H58" i="32"/>
  <c r="E43" i="32"/>
  <c r="F43" i="32"/>
  <c r="G43" i="32"/>
  <c r="H43" i="32"/>
  <c r="E44" i="32"/>
  <c r="F44" i="32"/>
  <c r="G44" i="32"/>
  <c r="H44" i="32"/>
  <c r="E66" i="32"/>
  <c r="F66" i="32"/>
  <c r="G66" i="32"/>
  <c r="H66" i="32"/>
  <c r="E69" i="32"/>
  <c r="F69" i="32"/>
  <c r="G69" i="32"/>
  <c r="H69" i="32"/>
  <c r="E70" i="32"/>
  <c r="F70" i="32"/>
  <c r="G70" i="32"/>
  <c r="H70" i="32"/>
  <c r="E68" i="32"/>
  <c r="F68" i="32"/>
  <c r="G68" i="32"/>
  <c r="H68" i="32"/>
  <c r="E71" i="32"/>
  <c r="F71" i="32"/>
  <c r="G71" i="32"/>
  <c r="H71" i="32"/>
  <c r="E67" i="32"/>
  <c r="F67" i="32"/>
  <c r="G67" i="32"/>
  <c r="H67" i="32"/>
  <c r="E72" i="32"/>
  <c r="F72" i="32"/>
  <c r="G72" i="32"/>
  <c r="H72" i="32"/>
  <c r="E73" i="32"/>
  <c r="F73" i="32"/>
  <c r="G73" i="32"/>
  <c r="H73" i="32"/>
  <c r="E74" i="32"/>
  <c r="F74" i="32"/>
  <c r="G74" i="32"/>
  <c r="H74" i="32"/>
  <c r="E75" i="32"/>
  <c r="F75" i="32"/>
  <c r="G75" i="32"/>
  <c r="H75" i="32"/>
  <c r="E76" i="32"/>
  <c r="F76" i="32"/>
  <c r="G76" i="32"/>
  <c r="H76" i="32"/>
  <c r="E77" i="32"/>
  <c r="F77" i="32"/>
  <c r="G77" i="32"/>
  <c r="H77" i="32"/>
  <c r="E78" i="32"/>
  <c r="F78" i="32"/>
  <c r="G78" i="32"/>
  <c r="H78" i="32"/>
  <c r="E79" i="32"/>
  <c r="F79" i="32"/>
  <c r="G79" i="32"/>
  <c r="H79" i="32"/>
  <c r="E80" i="32"/>
  <c r="F80" i="32"/>
  <c r="G80" i="32"/>
  <c r="H80" i="32"/>
  <c r="E81" i="32"/>
  <c r="F81" i="32"/>
  <c r="G81" i="32"/>
  <c r="H81" i="32"/>
  <c r="E82" i="32"/>
  <c r="F82" i="32"/>
  <c r="G82" i="32"/>
  <c r="H82" i="32"/>
  <c r="E83" i="32"/>
  <c r="F83" i="32"/>
  <c r="G83" i="32"/>
  <c r="H83" i="32"/>
  <c r="E84" i="32"/>
  <c r="F84" i="32"/>
  <c r="G84" i="32"/>
  <c r="H84" i="32"/>
  <c r="E85" i="32"/>
  <c r="F85" i="32"/>
  <c r="G85" i="32"/>
  <c r="H85" i="32"/>
  <c r="E86" i="32"/>
  <c r="F86" i="32"/>
  <c r="G86" i="32"/>
  <c r="H86" i="32"/>
  <c r="E55" i="3"/>
  <c r="F55" i="3"/>
  <c r="G55" i="3"/>
  <c r="E54" i="3"/>
  <c r="F54" i="3"/>
  <c r="G54" i="3"/>
  <c r="E53" i="3"/>
  <c r="F53" i="3"/>
  <c r="G53" i="3"/>
  <c r="E52" i="3"/>
  <c r="F52" i="3"/>
  <c r="G52" i="3"/>
  <c r="E51" i="3"/>
  <c r="F51" i="3"/>
  <c r="G51" i="3"/>
  <c r="E50" i="3"/>
  <c r="F50" i="3"/>
  <c r="G50" i="3"/>
  <c r="E49" i="3"/>
  <c r="F49" i="3"/>
  <c r="G49" i="3"/>
  <c r="E48" i="3"/>
  <c r="F48" i="3"/>
  <c r="G48" i="3"/>
  <c r="E47" i="3"/>
  <c r="F47" i="3"/>
  <c r="G47" i="3"/>
  <c r="E46" i="3"/>
  <c r="F46" i="3"/>
  <c r="G46" i="3"/>
  <c r="E45" i="3"/>
  <c r="F45" i="3"/>
  <c r="G45" i="3"/>
  <c r="E44" i="3"/>
  <c r="F44" i="3"/>
  <c r="G44" i="3"/>
  <c r="E43" i="3"/>
  <c r="F43" i="3"/>
  <c r="G43" i="3"/>
  <c r="E42" i="3"/>
  <c r="F42" i="3"/>
  <c r="G42" i="3"/>
  <c r="E41" i="3"/>
  <c r="F41" i="3"/>
  <c r="G41" i="3"/>
  <c r="E40" i="3"/>
  <c r="F40" i="3"/>
  <c r="G40" i="3"/>
  <c r="E39" i="3"/>
  <c r="F39" i="3"/>
  <c r="G39" i="3"/>
  <c r="E38" i="3"/>
  <c r="F38" i="3"/>
  <c r="G38" i="3"/>
  <c r="E37" i="3"/>
  <c r="F37" i="3"/>
  <c r="G37" i="3"/>
  <c r="E36" i="3"/>
  <c r="F36" i="3"/>
  <c r="G36" i="3"/>
  <c r="E35" i="3"/>
  <c r="F35" i="3"/>
  <c r="G35" i="3"/>
  <c r="E34" i="3"/>
  <c r="F34" i="3"/>
  <c r="G34" i="3"/>
  <c r="E33" i="3"/>
  <c r="F33" i="3"/>
  <c r="G33" i="3"/>
  <c r="E32" i="3"/>
  <c r="F32" i="3"/>
  <c r="G32" i="3"/>
  <c r="E31" i="3"/>
  <c r="F31" i="3"/>
  <c r="G31" i="3"/>
  <c r="E30" i="3"/>
  <c r="F30" i="3"/>
  <c r="G30" i="3"/>
  <c r="E29" i="3"/>
  <c r="F29" i="3"/>
  <c r="G29" i="3"/>
  <c r="E28" i="3"/>
  <c r="F28" i="3"/>
  <c r="G28" i="3"/>
  <c r="E27" i="3"/>
  <c r="F27" i="3"/>
  <c r="G27" i="3"/>
  <c r="E26" i="3"/>
  <c r="F26" i="3"/>
  <c r="G26" i="3"/>
  <c r="E25" i="3"/>
  <c r="F25" i="3"/>
  <c r="G25" i="3"/>
  <c r="E24" i="3"/>
  <c r="F24" i="3"/>
  <c r="G24" i="3"/>
  <c r="E23" i="3"/>
  <c r="F23" i="3"/>
  <c r="G23" i="3"/>
  <c r="E22" i="3"/>
  <c r="F22" i="3"/>
  <c r="G22" i="3"/>
  <c r="E21" i="3"/>
  <c r="F21" i="3"/>
  <c r="G21" i="3"/>
  <c r="E20" i="3"/>
  <c r="F20" i="3"/>
  <c r="G20" i="3"/>
  <c r="E19" i="3"/>
  <c r="F19" i="3"/>
  <c r="G19" i="3"/>
  <c r="E18" i="3"/>
  <c r="F18" i="3"/>
  <c r="G18" i="3"/>
  <c r="E17" i="3"/>
  <c r="F17" i="3"/>
  <c r="G17" i="3"/>
  <c r="E16" i="3"/>
  <c r="F16" i="3"/>
  <c r="G16" i="3"/>
  <c r="E15" i="3"/>
  <c r="F15" i="3"/>
  <c r="G15" i="3"/>
  <c r="E14" i="3"/>
  <c r="F14" i="3"/>
  <c r="G14" i="3"/>
  <c r="E13" i="3"/>
  <c r="F13" i="3"/>
  <c r="G13" i="3"/>
  <c r="E12" i="3"/>
  <c r="F12" i="3"/>
  <c r="G12" i="3"/>
  <c r="E11" i="3"/>
  <c r="F11" i="3"/>
  <c r="G11" i="3"/>
  <c r="E10" i="3"/>
  <c r="F10" i="3"/>
  <c r="G10" i="3"/>
  <c r="E9" i="3"/>
  <c r="F9" i="3"/>
  <c r="G9" i="3"/>
  <c r="E8" i="3"/>
  <c r="F8" i="3"/>
  <c r="G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8" i="3"/>
  <c r="E34" i="1"/>
  <c r="F34" i="1"/>
  <c r="G34" i="1"/>
  <c r="E33" i="1"/>
  <c r="F33" i="1"/>
  <c r="G33" i="1"/>
  <c r="D33" i="1"/>
  <c r="D34" i="1"/>
  <c r="E32" i="1"/>
  <c r="F32" i="1"/>
  <c r="G32" i="1"/>
  <c r="D32" i="1"/>
  <c r="E28" i="1"/>
  <c r="F28" i="1"/>
  <c r="G28" i="1"/>
  <c r="G29" i="1" s="1"/>
  <c r="E27" i="1"/>
  <c r="F27" i="1"/>
  <c r="G27" i="1"/>
  <c r="E26" i="1"/>
  <c r="F26" i="1"/>
  <c r="G26" i="1"/>
  <c r="H26" i="1"/>
  <c r="I26" i="1"/>
  <c r="J26" i="1"/>
  <c r="K26" i="1"/>
  <c r="L26" i="1"/>
  <c r="E25" i="1"/>
  <c r="F25" i="1"/>
  <c r="G25" i="1"/>
  <c r="E24" i="1"/>
  <c r="F24" i="1"/>
  <c r="G24" i="1"/>
  <c r="E23" i="1"/>
  <c r="F23" i="1"/>
  <c r="G23" i="1"/>
  <c r="E22" i="1"/>
  <c r="F22" i="1"/>
  <c r="G22" i="1"/>
  <c r="H22" i="1"/>
  <c r="I22" i="1"/>
  <c r="J22" i="1"/>
  <c r="K22" i="1"/>
  <c r="L22" i="1"/>
  <c r="E21" i="1"/>
  <c r="F21" i="1"/>
  <c r="G21" i="1"/>
  <c r="E20" i="1"/>
  <c r="F20" i="1"/>
  <c r="G20" i="1"/>
  <c r="H20" i="1"/>
  <c r="I20" i="1"/>
  <c r="J20" i="1"/>
  <c r="K20" i="1"/>
  <c r="L20" i="1"/>
  <c r="E19" i="1"/>
  <c r="F19" i="1"/>
  <c r="G19" i="1"/>
  <c r="H19" i="1"/>
  <c r="I19" i="1"/>
  <c r="J19" i="1"/>
  <c r="K19" i="1"/>
  <c r="L19" i="1"/>
  <c r="E18" i="1"/>
  <c r="F18" i="1"/>
  <c r="G18" i="1"/>
  <c r="H18" i="1"/>
  <c r="I18" i="1"/>
  <c r="J18" i="1"/>
  <c r="K18" i="1"/>
  <c r="L18" i="1"/>
  <c r="E17" i="1"/>
  <c r="F17" i="1"/>
  <c r="G17" i="1"/>
  <c r="E16" i="1"/>
  <c r="F16" i="1"/>
  <c r="G16" i="1"/>
  <c r="H16" i="1"/>
  <c r="I16" i="1"/>
  <c r="J16" i="1"/>
  <c r="K16" i="1"/>
  <c r="L16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E15" i="1"/>
  <c r="F15" i="1"/>
  <c r="G15" i="1"/>
  <c r="D15" i="1"/>
  <c r="E14" i="1"/>
  <c r="F14" i="1"/>
  <c r="G14" i="1"/>
  <c r="E13" i="1"/>
  <c r="F13" i="1"/>
  <c r="G13" i="1"/>
  <c r="E12" i="1"/>
  <c r="F12" i="1"/>
  <c r="G12" i="1"/>
  <c r="E9" i="1"/>
  <c r="F9" i="1"/>
  <c r="G9" i="1"/>
  <c r="E10" i="1"/>
  <c r="F10" i="1"/>
  <c r="G10" i="1"/>
  <c r="E11" i="1"/>
  <c r="F11" i="1"/>
  <c r="G11" i="1"/>
  <c r="D10" i="1"/>
  <c r="D11" i="1"/>
  <c r="D12" i="1"/>
  <c r="D13" i="1"/>
  <c r="D14" i="1"/>
  <c r="D9" i="1"/>
  <c r="E7" i="1"/>
  <c r="E9" i="14" s="1"/>
  <c r="F7" i="1"/>
  <c r="F9" i="14" s="1"/>
  <c r="G7" i="1"/>
  <c r="G8" i="1" s="1"/>
  <c r="D7" i="1"/>
  <c r="D9" i="14" s="1"/>
  <c r="G8" i="14" l="1"/>
  <c r="I8" i="14" s="1"/>
  <c r="J8" i="14" s="1"/>
  <c r="K8" i="14" s="1"/>
  <c r="L8" i="14" s="1"/>
  <c r="M8" i="14" s="1"/>
  <c r="G9" i="14"/>
  <c r="I9" i="14" s="1"/>
  <c r="J9" i="14" s="1"/>
  <c r="K9" i="14" s="1"/>
  <c r="L9" i="14" s="1"/>
  <c r="M9" i="14" s="1"/>
  <c r="F8" i="14"/>
  <c r="E8" i="14"/>
  <c r="D8" i="14"/>
  <c r="H8" i="14" s="1"/>
  <c r="E8" i="1"/>
  <c r="F8" i="1"/>
  <c r="G31" i="1"/>
  <c r="H20" i="41"/>
  <c r="I20" i="41" s="1"/>
  <c r="J20" i="41" s="1"/>
  <c r="G20" i="41"/>
  <c r="F20" i="41"/>
  <c r="G37" i="41"/>
  <c r="F36" i="41"/>
  <c r="G36" i="41" s="1"/>
  <c r="H36" i="41" s="1"/>
  <c r="I36" i="41" s="1"/>
  <c r="J36" i="41" s="1"/>
  <c r="G35" i="41"/>
  <c r="F35" i="41"/>
  <c r="C43" i="41"/>
  <c r="D43" i="41"/>
  <c r="E43" i="41"/>
  <c r="B43" i="41"/>
  <c r="H35" i="41" l="1"/>
  <c r="H26" i="41"/>
  <c r="I26" i="41" s="1"/>
  <c r="J26" i="41" s="1"/>
  <c r="G26" i="41"/>
  <c r="F26" i="41"/>
  <c r="F39" i="41"/>
  <c r="F38" i="41"/>
  <c r="G38" i="41" s="1"/>
  <c r="H38" i="41" s="1"/>
  <c r="I38" i="41" s="1"/>
  <c r="J38" i="41" s="1"/>
  <c r="F13" i="40"/>
  <c r="H18" i="41"/>
  <c r="I18" i="41" s="1"/>
  <c r="J18" i="41" s="1"/>
  <c r="G18" i="41"/>
  <c r="F18" i="41"/>
  <c r="C44" i="41"/>
  <c r="D44" i="41"/>
  <c r="E44" i="41"/>
  <c r="D42" i="41"/>
  <c r="E42" i="41"/>
  <c r="F40" i="41"/>
  <c r="H37" i="41"/>
  <c r="F37" i="41"/>
  <c r="B44" i="41"/>
  <c r="C38" i="41"/>
  <c r="D38" i="41"/>
  <c r="E38" i="41"/>
  <c r="C37" i="41"/>
  <c r="D37" i="41"/>
  <c r="E37" i="41"/>
  <c r="B37" i="41"/>
  <c r="I37" i="41" l="1"/>
  <c r="I35" i="41"/>
  <c r="C42" i="41"/>
  <c r="D41" i="41"/>
  <c r="E41" i="41"/>
  <c r="C41" i="41"/>
  <c r="C40" i="41"/>
  <c r="D40" i="41"/>
  <c r="E40" i="41"/>
  <c r="B40" i="41"/>
  <c r="C39" i="41"/>
  <c r="D39" i="41"/>
  <c r="E39" i="41"/>
  <c r="B39" i="41"/>
  <c r="B38" i="41"/>
  <c r="C36" i="41"/>
  <c r="D36" i="41"/>
  <c r="E36" i="41"/>
  <c r="B36" i="41"/>
  <c r="C35" i="41"/>
  <c r="D35" i="41"/>
  <c r="E35" i="41"/>
  <c r="B35" i="41"/>
  <c r="C34" i="41"/>
  <c r="D34" i="41"/>
  <c r="E34" i="41"/>
  <c r="B34" i="41"/>
  <c r="F43" i="40"/>
  <c r="G43" i="40" s="1"/>
  <c r="H43" i="40" s="1"/>
  <c r="I43" i="40" s="1"/>
  <c r="J43" i="40" s="1"/>
  <c r="F28" i="40"/>
  <c r="G28" i="40" s="1"/>
  <c r="H28" i="40" s="1"/>
  <c r="I28" i="40" s="1"/>
  <c r="J28" i="40" s="1"/>
  <c r="G13" i="40"/>
  <c r="H13" i="40" s="1"/>
  <c r="I13" i="40" s="1"/>
  <c r="J13" i="40" s="1"/>
  <c r="F59" i="40"/>
  <c r="G59" i="40" s="1"/>
  <c r="H59" i="40" s="1"/>
  <c r="I59" i="40" s="1"/>
  <c r="J59" i="40" s="1"/>
  <c r="F29" i="40"/>
  <c r="F14" i="40"/>
  <c r="F44" i="40"/>
  <c r="F82" i="40" s="1"/>
  <c r="F83" i="40" s="1"/>
  <c r="F69" i="40"/>
  <c r="F72" i="40" s="1"/>
  <c r="G69" i="40" s="1"/>
  <c r="G72" i="40" s="1"/>
  <c r="H69" i="40" s="1"/>
  <c r="H72" i="40" s="1"/>
  <c r="I69" i="40" s="1"/>
  <c r="I72" i="40" s="1"/>
  <c r="J69" i="40" s="1"/>
  <c r="J72" i="40" s="1"/>
  <c r="G14" i="40" l="1"/>
  <c r="F76" i="40"/>
  <c r="F77" i="40" s="1"/>
  <c r="G29" i="40"/>
  <c r="F79" i="40"/>
  <c r="F80" i="40" s="1"/>
  <c r="J37" i="41"/>
  <c r="J35" i="41"/>
  <c r="G44" i="40"/>
  <c r="C57" i="40"/>
  <c r="D57" i="40"/>
  <c r="B57" i="40"/>
  <c r="C42" i="40"/>
  <c r="D42" i="40"/>
  <c r="B42" i="40"/>
  <c r="C27" i="40"/>
  <c r="D27" i="40"/>
  <c r="B27" i="40"/>
  <c r="C12" i="40"/>
  <c r="C11" i="40" s="1"/>
  <c r="D12" i="40"/>
  <c r="D11" i="40" s="1"/>
  <c r="B12" i="40"/>
  <c r="H14" i="40" l="1"/>
  <c r="G76" i="40"/>
  <c r="G77" i="40" s="1"/>
  <c r="H44" i="40"/>
  <c r="H82" i="40" s="1"/>
  <c r="H83" i="40" s="1"/>
  <c r="G82" i="40"/>
  <c r="G83" i="40" s="1"/>
  <c r="H29" i="40"/>
  <c r="G79" i="40"/>
  <c r="G80" i="40" s="1"/>
  <c r="C64" i="40"/>
  <c r="D64" i="40"/>
  <c r="E64" i="40"/>
  <c r="B64" i="40"/>
  <c r="C49" i="40"/>
  <c r="D49" i="40"/>
  <c r="E49" i="40"/>
  <c r="B49" i="40"/>
  <c r="C34" i="40"/>
  <c r="D34" i="40"/>
  <c r="E34" i="40"/>
  <c r="B34" i="40"/>
  <c r="E57" i="40"/>
  <c r="E56" i="40" s="1"/>
  <c r="C56" i="40"/>
  <c r="D56" i="40"/>
  <c r="B56" i="40"/>
  <c r="E12" i="40"/>
  <c r="E11" i="40" s="1"/>
  <c r="E27" i="40"/>
  <c r="E26" i="40" s="1"/>
  <c r="E42" i="40"/>
  <c r="E41" i="40" s="1"/>
  <c r="C41" i="40"/>
  <c r="D41" i="40"/>
  <c r="B41" i="40"/>
  <c r="C26" i="40"/>
  <c r="D26" i="40"/>
  <c r="B26" i="40"/>
  <c r="C19" i="40"/>
  <c r="D19" i="40"/>
  <c r="E19" i="40"/>
  <c r="B19" i="40"/>
  <c r="B11" i="40"/>
  <c r="D60" i="40"/>
  <c r="E60" i="40"/>
  <c r="C60" i="40"/>
  <c r="D45" i="40"/>
  <c r="E45" i="40"/>
  <c r="C45" i="40"/>
  <c r="D30" i="40"/>
  <c r="E30" i="40"/>
  <c r="C30" i="40"/>
  <c r="D15" i="40"/>
  <c r="E15" i="40"/>
  <c r="C15" i="40"/>
  <c r="C61" i="40"/>
  <c r="B61" i="40"/>
  <c r="C46" i="40"/>
  <c r="D46" i="40"/>
  <c r="B46" i="40"/>
  <c r="C31" i="40"/>
  <c r="B31" i="40"/>
  <c r="C16" i="40"/>
  <c r="B16" i="40"/>
  <c r="D61" i="40"/>
  <c r="E61" i="40"/>
  <c r="E46" i="40"/>
  <c r="D31" i="40"/>
  <c r="E31" i="40"/>
  <c r="E16" i="40"/>
  <c r="D16" i="40"/>
  <c r="E4" i="40" l="1"/>
  <c r="D4" i="40"/>
  <c r="D32" i="40"/>
  <c r="C4" i="40"/>
  <c r="E16" i="14" s="1"/>
  <c r="I44" i="40"/>
  <c r="I82" i="40" s="1"/>
  <c r="I83" i="40" s="1"/>
  <c r="I14" i="40"/>
  <c r="H76" i="40"/>
  <c r="H77" i="40" s="1"/>
  <c r="I29" i="40"/>
  <c r="H79" i="40"/>
  <c r="H80" i="40" s="1"/>
  <c r="E17" i="14"/>
  <c r="F17" i="14"/>
  <c r="F16" i="14"/>
  <c r="F15" i="14"/>
  <c r="F10" i="14"/>
  <c r="G17" i="14"/>
  <c r="G16" i="14"/>
  <c r="I16" i="14" s="1"/>
  <c r="J16" i="14" s="1"/>
  <c r="K16" i="14" s="1"/>
  <c r="L16" i="14" s="1"/>
  <c r="M16" i="14" s="1"/>
  <c r="G15" i="14"/>
  <c r="I15" i="14" s="1"/>
  <c r="G10" i="14"/>
  <c r="I10" i="14" s="1"/>
  <c r="J10" i="14" s="1"/>
  <c r="K10" i="14" s="1"/>
  <c r="L10" i="14" s="1"/>
  <c r="M10" i="14" s="1"/>
  <c r="C33" i="40"/>
  <c r="E33" i="40"/>
  <c r="B4" i="40"/>
  <c r="C63" i="40"/>
  <c r="C62" i="40"/>
  <c r="D18" i="40"/>
  <c r="D17" i="40"/>
  <c r="E47" i="40"/>
  <c r="E48" i="40"/>
  <c r="C18" i="40"/>
  <c r="C17" i="40"/>
  <c r="D48" i="40"/>
  <c r="D47" i="40"/>
  <c r="E18" i="40"/>
  <c r="E17" i="40"/>
  <c r="E62" i="40"/>
  <c r="E63" i="40"/>
  <c r="C48" i="40"/>
  <c r="C47" i="40"/>
  <c r="D33" i="40"/>
  <c r="F33" i="40" s="1"/>
  <c r="E32" i="40"/>
  <c r="D63" i="40"/>
  <c r="F63" i="40" s="1"/>
  <c r="D62" i="40"/>
  <c r="C32" i="40"/>
  <c r="E10" i="14" l="1"/>
  <c r="E15" i="14"/>
  <c r="J44" i="40"/>
  <c r="J82" i="40" s="1"/>
  <c r="J83" i="40" s="1"/>
  <c r="J14" i="40"/>
  <c r="J76" i="40" s="1"/>
  <c r="J77" i="40" s="1"/>
  <c r="I76" i="40"/>
  <c r="I77" i="40" s="1"/>
  <c r="J29" i="40"/>
  <c r="J79" i="40" s="1"/>
  <c r="J80" i="40" s="1"/>
  <c r="I79" i="40"/>
  <c r="I80" i="40" s="1"/>
  <c r="D17" i="14"/>
  <c r="H17" i="14" s="1"/>
  <c r="D16" i="14"/>
  <c r="H16" i="14" s="1"/>
  <c r="D15" i="14"/>
  <c r="H15" i="14" s="1"/>
  <c r="D10" i="14"/>
  <c r="G33" i="40"/>
  <c r="H33" i="40" s="1"/>
  <c r="I33" i="40" s="1"/>
  <c r="J33" i="40" s="1"/>
  <c r="F31" i="40"/>
  <c r="F46" i="40"/>
  <c r="G46" i="40" s="1"/>
  <c r="F61" i="40"/>
  <c r="F10" i="45"/>
  <c r="D28" i="16"/>
  <c r="F16" i="40" l="1"/>
  <c r="F18" i="40" s="1"/>
  <c r="G18" i="40" s="1"/>
  <c r="H18" i="40" s="1"/>
  <c r="I18" i="40" s="1"/>
  <c r="J18" i="40" s="1"/>
  <c r="I35" i="16"/>
  <c r="G35" i="16"/>
  <c r="F35" i="16"/>
  <c r="H35" i="16"/>
  <c r="F48" i="40"/>
  <c r="G48" i="40" s="1"/>
  <c r="H48" i="40" s="1"/>
  <c r="I48" i="40" s="1"/>
  <c r="J48" i="40" s="1"/>
  <c r="F38" i="40"/>
  <c r="F39" i="40" s="1"/>
  <c r="G61" i="40"/>
  <c r="H46" i="40"/>
  <c r="G63" i="40"/>
  <c r="H63" i="40" s="1"/>
  <c r="I63" i="40" s="1"/>
  <c r="G31" i="40"/>
  <c r="F23" i="40"/>
  <c r="G16" i="40" l="1"/>
  <c r="G38" i="40"/>
  <c r="G39" i="40" s="1"/>
  <c r="F8" i="40"/>
  <c r="F9" i="40" s="1"/>
  <c r="H61" i="40"/>
  <c r="G53" i="40"/>
  <c r="H31" i="40"/>
  <c r="G23" i="40"/>
  <c r="F53" i="40"/>
  <c r="H16" i="40"/>
  <c r="G8" i="40"/>
  <c r="F34" i="40"/>
  <c r="F24" i="40"/>
  <c r="I46" i="40"/>
  <c r="H38" i="40"/>
  <c r="H39" i="40" s="1"/>
  <c r="J63" i="40"/>
  <c r="E53" i="16"/>
  <c r="D53" i="16" s="1"/>
  <c r="G53" i="16"/>
  <c r="H53" i="16" s="1"/>
  <c r="C55" i="16"/>
  <c r="C54" i="16" s="1"/>
  <c r="C57" i="16"/>
  <c r="C58" i="16" s="1"/>
  <c r="F19" i="40" l="1"/>
  <c r="F2" i="40"/>
  <c r="F55" i="40" s="1"/>
  <c r="F89" i="40" s="1"/>
  <c r="I61" i="40"/>
  <c r="H53" i="40"/>
  <c r="G24" i="40"/>
  <c r="G34" i="40"/>
  <c r="G12" i="40"/>
  <c r="G9" i="40"/>
  <c r="G19" i="40"/>
  <c r="I31" i="40"/>
  <c r="H23" i="40"/>
  <c r="J46" i="40"/>
  <c r="J38" i="40" s="1"/>
  <c r="I38" i="40"/>
  <c r="I39" i="40" s="1"/>
  <c r="I16" i="40"/>
  <c r="H8" i="40"/>
  <c r="G2" i="40"/>
  <c r="G3" i="40" l="1"/>
  <c r="G5" i="41"/>
  <c r="G55" i="40"/>
  <c r="G89" i="40" s="1"/>
  <c r="F3" i="40"/>
  <c r="F5" i="41"/>
  <c r="H24" i="40"/>
  <c r="H34" i="40"/>
  <c r="J61" i="40"/>
  <c r="J53" i="40" s="1"/>
  <c r="I53" i="40"/>
  <c r="J16" i="40"/>
  <c r="J8" i="40" s="1"/>
  <c r="I8" i="40"/>
  <c r="H12" i="40"/>
  <c r="H2" i="40"/>
  <c r="H19" i="40"/>
  <c r="H9" i="40"/>
  <c r="I23" i="40"/>
  <c r="J31" i="40"/>
  <c r="J23" i="40" s="1"/>
  <c r="J39" i="40"/>
  <c r="F15" i="41" l="1"/>
  <c r="H15" i="1" s="1"/>
  <c r="F17" i="41"/>
  <c r="H17" i="1" s="1"/>
  <c r="F6" i="41"/>
  <c r="H9" i="1" s="1"/>
  <c r="H7" i="1"/>
  <c r="F41" i="41"/>
  <c r="F9" i="41"/>
  <c r="H12" i="1" s="1"/>
  <c r="F10" i="41"/>
  <c r="H13" i="1" s="1"/>
  <c r="I7" i="1"/>
  <c r="G41" i="41"/>
  <c r="G9" i="41"/>
  <c r="I12" i="1" s="1"/>
  <c r="G10" i="41"/>
  <c r="I13" i="1" s="1"/>
  <c r="G11" i="41"/>
  <c r="I14" i="1" s="1"/>
  <c r="G8" i="41"/>
  <c r="I11" i="1" s="1"/>
  <c r="H3" i="40"/>
  <c r="H5" i="41"/>
  <c r="F21" i="41"/>
  <c r="H21" i="1" s="1"/>
  <c r="F8" i="41"/>
  <c r="H11" i="1" s="1"/>
  <c r="F11" i="41"/>
  <c r="H14" i="1" s="1"/>
  <c r="J34" i="40"/>
  <c r="J24" i="40"/>
  <c r="J2" i="40"/>
  <c r="J5" i="41" s="1"/>
  <c r="H55" i="40"/>
  <c r="H89" i="40" s="1"/>
  <c r="I19" i="40"/>
  <c r="I2" i="40"/>
  <c r="I5" i="41" s="1"/>
  <c r="I9" i="40"/>
  <c r="I34" i="40"/>
  <c r="I24" i="40"/>
  <c r="J19" i="40"/>
  <c r="J9" i="40"/>
  <c r="I34" i="14"/>
  <c r="D63" i="30"/>
  <c r="D62" i="30"/>
  <c r="G15" i="41" l="1"/>
  <c r="H15" i="41" s="1"/>
  <c r="G17" i="41"/>
  <c r="H17" i="41" s="1"/>
  <c r="G6" i="41"/>
  <c r="H6" i="41" s="1"/>
  <c r="H25" i="3"/>
  <c r="H24" i="3"/>
  <c r="G55" i="30"/>
  <c r="H8" i="1"/>
  <c r="L7" i="1"/>
  <c r="J41" i="41"/>
  <c r="J9" i="41"/>
  <c r="L12" i="1" s="1"/>
  <c r="J10" i="41"/>
  <c r="L13" i="1" s="1"/>
  <c r="I24" i="3"/>
  <c r="I25" i="3"/>
  <c r="H55" i="30"/>
  <c r="I8" i="1"/>
  <c r="J7" i="1"/>
  <c r="H41" i="41"/>
  <c r="H9" i="41"/>
  <c r="J12" i="1" s="1"/>
  <c r="H10" i="41"/>
  <c r="J13" i="1" s="1"/>
  <c r="K7" i="1"/>
  <c r="I41" i="41"/>
  <c r="I9" i="41"/>
  <c r="K12" i="1" s="1"/>
  <c r="I10" i="41"/>
  <c r="K13" i="1" s="1"/>
  <c r="D65" i="30"/>
  <c r="F30" i="30"/>
  <c r="F8" i="30" s="1"/>
  <c r="E30" i="30"/>
  <c r="E8" i="30" s="1"/>
  <c r="D30" i="30"/>
  <c r="D8" i="30" s="1"/>
  <c r="J11" i="41"/>
  <c r="L14" i="1" s="1"/>
  <c r="J8" i="41"/>
  <c r="L11" i="1" s="1"/>
  <c r="I11" i="41"/>
  <c r="K14" i="1" s="1"/>
  <c r="I8" i="41"/>
  <c r="K11" i="1" s="1"/>
  <c r="H11" i="41"/>
  <c r="J14" i="1" s="1"/>
  <c r="H8" i="41"/>
  <c r="J11" i="1" s="1"/>
  <c r="F12" i="41"/>
  <c r="J55" i="40"/>
  <c r="J89" i="40" s="1"/>
  <c r="J3" i="40"/>
  <c r="I55" i="40"/>
  <c r="I89" i="40" s="1"/>
  <c r="I3" i="40"/>
  <c r="I15" i="1" l="1"/>
  <c r="I17" i="1"/>
  <c r="I9" i="1"/>
  <c r="H13" i="3"/>
  <c r="I41" i="32" s="1"/>
  <c r="I66" i="32" s="1"/>
  <c r="I98" i="32" s="1"/>
  <c r="H39" i="3"/>
  <c r="I33" i="32" s="1"/>
  <c r="H18" i="3"/>
  <c r="I30" i="32" s="1"/>
  <c r="H49" i="3"/>
  <c r="I32" i="32" s="1"/>
  <c r="H16" i="3"/>
  <c r="I16" i="3" s="1"/>
  <c r="H41" i="1"/>
  <c r="I102" i="32"/>
  <c r="G12" i="41"/>
  <c r="G13" i="41" s="1"/>
  <c r="J100" i="32"/>
  <c r="J25" i="3"/>
  <c r="J24" i="3"/>
  <c r="I55" i="30"/>
  <c r="J8" i="1"/>
  <c r="J41" i="1" s="1"/>
  <c r="J102" i="32"/>
  <c r="I17" i="41"/>
  <c r="J17" i="1"/>
  <c r="I39" i="3"/>
  <c r="I41" i="1"/>
  <c r="I15" i="41"/>
  <c r="J15" i="1"/>
  <c r="K100" i="32"/>
  <c r="K24" i="3"/>
  <c r="K25" i="3"/>
  <c r="J55" i="30"/>
  <c r="K8" i="1"/>
  <c r="K41" i="1" s="1"/>
  <c r="I6" i="41"/>
  <c r="J9" i="1"/>
  <c r="L100" i="32"/>
  <c r="L25" i="3"/>
  <c r="L24" i="3"/>
  <c r="K55" i="30"/>
  <c r="L8" i="1"/>
  <c r="L41" i="1" s="1"/>
  <c r="D33" i="30"/>
  <c r="F33" i="30"/>
  <c r="E33" i="30"/>
  <c r="E17" i="30"/>
  <c r="E7" i="30" s="1"/>
  <c r="E10" i="30" s="1"/>
  <c r="D17" i="30"/>
  <c r="D7" i="30" s="1"/>
  <c r="D10" i="30" s="1"/>
  <c r="F13" i="41"/>
  <c r="I13" i="3" l="1"/>
  <c r="H12" i="41"/>
  <c r="H13" i="41" s="1"/>
  <c r="I22" i="32"/>
  <c r="J16" i="3"/>
  <c r="K22" i="32" s="1"/>
  <c r="I49" i="3"/>
  <c r="J49" i="3" s="1"/>
  <c r="I18" i="3"/>
  <c r="J30" i="32" s="1"/>
  <c r="K102" i="32"/>
  <c r="J15" i="41"/>
  <c r="L15" i="1" s="1"/>
  <c r="K15" i="1"/>
  <c r="J17" i="41"/>
  <c r="L17" i="1" s="1"/>
  <c r="K17" i="1"/>
  <c r="J39" i="3"/>
  <c r="J33" i="32"/>
  <c r="J13" i="3"/>
  <c r="J41" i="32"/>
  <c r="J66" i="32" s="1"/>
  <c r="J98" i="32" s="1"/>
  <c r="M102" i="32"/>
  <c r="J6" i="41"/>
  <c r="L9" i="1" s="1"/>
  <c r="K9" i="1"/>
  <c r="L102" i="32"/>
  <c r="J22" i="32"/>
  <c r="E20" i="30"/>
  <c r="D20" i="30"/>
  <c r="H10" i="14"/>
  <c r="I12" i="41" l="1"/>
  <c r="I13" i="41" s="1"/>
  <c r="J18" i="3"/>
  <c r="K30" i="32" s="1"/>
  <c r="K16" i="3"/>
  <c r="L16" i="3" s="1"/>
  <c r="J32" i="32"/>
  <c r="K39" i="3"/>
  <c r="K33" i="32"/>
  <c r="K49" i="3"/>
  <c r="K32" i="32"/>
  <c r="J12" i="41"/>
  <c r="K13" i="3"/>
  <c r="K41" i="32"/>
  <c r="K66" i="32" s="1"/>
  <c r="K98" i="32" s="1"/>
  <c r="C10" i="40"/>
  <c r="C86" i="40" s="1"/>
  <c r="D10" i="40"/>
  <c r="D86" i="40" s="1"/>
  <c r="E40" i="40"/>
  <c r="E88" i="40" s="1"/>
  <c r="C9" i="40"/>
  <c r="D9" i="40"/>
  <c r="E9" i="40"/>
  <c r="C24" i="40"/>
  <c r="D24" i="40"/>
  <c r="E24" i="40"/>
  <c r="C39" i="40"/>
  <c r="D39" i="40"/>
  <c r="E39" i="40"/>
  <c r="C54" i="40"/>
  <c r="D54" i="40"/>
  <c r="E54" i="40"/>
  <c r="K18" i="3" l="1"/>
  <c r="L30" i="32" s="1"/>
  <c r="L22" i="32"/>
  <c r="M22" i="32"/>
  <c r="L13" i="3"/>
  <c r="M41" i="32" s="1"/>
  <c r="M66" i="32" s="1"/>
  <c r="M98" i="32" s="1"/>
  <c r="J13" i="41"/>
  <c r="L39" i="3"/>
  <c r="M33" i="32" s="1"/>
  <c r="L33" i="32"/>
  <c r="L49" i="3"/>
  <c r="M32" i="32" s="1"/>
  <c r="L32" i="32"/>
  <c r="L41" i="32"/>
  <c r="L66" i="32" s="1"/>
  <c r="L98" i="32" s="1"/>
  <c r="F58" i="40"/>
  <c r="G58" i="40" s="1"/>
  <c r="H58" i="40" s="1"/>
  <c r="I58" i="40" s="1"/>
  <c r="J58" i="40" s="1"/>
  <c r="D5" i="40"/>
  <c r="B10" i="40"/>
  <c r="B86" i="40" s="1"/>
  <c r="D3" i="40"/>
  <c r="E5" i="40"/>
  <c r="D40" i="40"/>
  <c r="D88" i="40" s="1"/>
  <c r="E25" i="40"/>
  <c r="E87" i="40" s="1"/>
  <c r="E55" i="40"/>
  <c r="E89" i="40" s="1"/>
  <c r="C3" i="40"/>
  <c r="C5" i="40"/>
  <c r="E10" i="40"/>
  <c r="E86" i="40" s="1"/>
  <c r="D25" i="40"/>
  <c r="D87" i="40" s="1"/>
  <c r="C40" i="40"/>
  <c r="C88" i="40" s="1"/>
  <c r="D55" i="40"/>
  <c r="D89" i="40" s="1"/>
  <c r="C25" i="40"/>
  <c r="C87" i="40" s="1"/>
  <c r="B40" i="40"/>
  <c r="B88" i="40" s="1"/>
  <c r="C55" i="40"/>
  <c r="C89" i="40" s="1"/>
  <c r="E3" i="40"/>
  <c r="B25" i="40"/>
  <c r="B87" i="40" s="1"/>
  <c r="B55" i="40"/>
  <c r="B89" i="40" s="1"/>
  <c r="L18" i="3" l="1"/>
  <c r="M30" i="32" s="1"/>
  <c r="F27" i="40"/>
  <c r="F26" i="40" s="1"/>
  <c r="D91" i="40"/>
  <c r="C91" i="40"/>
  <c r="E91" i="40"/>
  <c r="J12" i="40" l="1"/>
  <c r="I12" i="40"/>
  <c r="H27" i="40"/>
  <c r="F12" i="40"/>
  <c r="F11" i="40" s="1"/>
  <c r="G27" i="40" l="1"/>
  <c r="G26" i="40" s="1"/>
  <c r="I27" i="40"/>
  <c r="H26" i="40"/>
  <c r="G11" i="40"/>
  <c r="J27" i="40" l="1"/>
  <c r="I26" i="40"/>
  <c r="H11" i="40"/>
  <c r="I11" i="40" l="1"/>
  <c r="J26" i="40"/>
  <c r="J11" i="40" l="1"/>
  <c r="O27" i="32" l="1"/>
  <c r="P27" i="32"/>
  <c r="Q27" i="32"/>
  <c r="K22" i="23"/>
  <c r="J22" i="23"/>
  <c r="I22" i="23"/>
  <c r="H22" i="23"/>
  <c r="G22" i="23"/>
  <c r="F22" i="23"/>
  <c r="D22" i="23"/>
  <c r="K21" i="23"/>
  <c r="J21" i="23"/>
  <c r="I21" i="23"/>
  <c r="H21" i="23"/>
  <c r="J30" i="23" s="1"/>
  <c r="G21" i="23"/>
  <c r="F21" i="23"/>
  <c r="K20" i="23"/>
  <c r="J20" i="23"/>
  <c r="I20" i="23"/>
  <c r="H20" i="23"/>
  <c r="G20" i="23"/>
  <c r="F20" i="23"/>
  <c r="K19" i="23"/>
  <c r="J19" i="23"/>
  <c r="I30" i="23" s="1"/>
  <c r="I19" i="23"/>
  <c r="H19" i="23"/>
  <c r="G19" i="23"/>
  <c r="F19" i="23"/>
  <c r="K18" i="23"/>
  <c r="J18" i="23"/>
  <c r="I18" i="23"/>
  <c r="H18" i="23"/>
  <c r="G18" i="23"/>
  <c r="F18" i="23"/>
  <c r="K17" i="23"/>
  <c r="J17" i="23"/>
  <c r="I17" i="23"/>
  <c r="H17" i="23"/>
  <c r="G17" i="23"/>
  <c r="D14" i="23"/>
  <c r="D13" i="23"/>
  <c r="D12" i="23"/>
  <c r="D11" i="23"/>
  <c r="D8" i="23"/>
  <c r="D9" i="23"/>
  <c r="G26" i="16"/>
  <c r="Q112" i="32"/>
  <c r="P112" i="32"/>
  <c r="O112" i="32"/>
  <c r="N112" i="32"/>
  <c r="P49" i="3"/>
  <c r="O49" i="3"/>
  <c r="N49" i="3"/>
  <c r="P44" i="3"/>
  <c r="O44" i="3"/>
  <c r="N44" i="3"/>
  <c r="P31" i="3"/>
  <c r="O31" i="3"/>
  <c r="N31" i="3"/>
  <c r="P17" i="3"/>
  <c r="O17" i="3"/>
  <c r="N17" i="3"/>
  <c r="M8" i="1"/>
  <c r="H9" i="14"/>
  <c r="M7" i="1"/>
  <c r="G29" i="30"/>
  <c r="J30" i="30"/>
  <c r="I30" i="30"/>
  <c r="N50" i="3" l="1"/>
  <c r="N59" i="3" s="1"/>
  <c r="J34" i="14"/>
  <c r="L34" i="14"/>
  <c r="K34" i="14"/>
  <c r="I37" i="16"/>
  <c r="G37" i="16"/>
  <c r="J37" i="16"/>
  <c r="E37" i="16"/>
  <c r="F37" i="16"/>
  <c r="H37" i="16"/>
  <c r="D10" i="23"/>
  <c r="P58" i="3"/>
  <c r="N32" i="3"/>
  <c r="N56" i="3" s="1"/>
  <c r="N63" i="3" s="1"/>
  <c r="O58" i="3"/>
  <c r="O32" i="3"/>
  <c r="O56" i="3" s="1"/>
  <c r="O50" i="3"/>
  <c r="O59" i="3" s="1"/>
  <c r="P32" i="3"/>
  <c r="P56" i="3" s="1"/>
  <c r="P50" i="3"/>
  <c r="P59" i="3" s="1"/>
  <c r="G39" i="41"/>
  <c r="I17" i="14"/>
  <c r="J15" i="14"/>
  <c r="K15" i="14" s="1"/>
  <c r="L15" i="14" s="1"/>
  <c r="M15" i="14" s="1"/>
  <c r="G40" i="41"/>
  <c r="H40" i="41" s="1"/>
  <c r="I40" i="41" s="1"/>
  <c r="J40" i="41" s="1"/>
  <c r="N58" i="3"/>
  <c r="E35" i="16"/>
  <c r="J17" i="14" l="1"/>
  <c r="K17" i="14" s="1"/>
  <c r="L17" i="14" s="1"/>
  <c r="M17" i="14" s="1"/>
  <c r="H39" i="41"/>
  <c r="G21" i="41"/>
  <c r="I21" i="1" s="1"/>
  <c r="P63" i="3"/>
  <c r="O63" i="3"/>
  <c r="G33" i="30"/>
  <c r="H33" i="30" s="1"/>
  <c r="I33" i="30" s="1"/>
  <c r="J33" i="30" s="1"/>
  <c r="K33" i="30" s="1"/>
  <c r="H39" i="14"/>
  <c r="D7" i="23"/>
  <c r="D37" i="16"/>
  <c r="M34" i="14" l="1"/>
  <c r="I39" i="41"/>
  <c r="H21" i="41"/>
  <c r="J21" i="1" s="1"/>
  <c r="J39" i="14"/>
  <c r="I30" i="1" l="1"/>
  <c r="G30" i="30"/>
  <c r="G32" i="30" s="1"/>
  <c r="J39" i="41"/>
  <c r="J21" i="41" s="1"/>
  <c r="L21" i="1" s="1"/>
  <c r="I21" i="41"/>
  <c r="K21" i="1" s="1"/>
  <c r="K39" i="14"/>
  <c r="B91" i="40"/>
  <c r="J30" i="1" l="1"/>
  <c r="G35" i="30"/>
  <c r="H29" i="30" s="1"/>
  <c r="K30" i="30"/>
  <c r="H30" i="30"/>
  <c r="L39" i="14"/>
  <c r="K30" i="1" l="1"/>
  <c r="H32" i="30"/>
  <c r="M39" i="14"/>
  <c r="L30" i="1" l="1"/>
  <c r="H35" i="30"/>
  <c r="I29" i="30" s="1"/>
  <c r="I32" i="30" s="1"/>
  <c r="I35" i="30" l="1"/>
  <c r="J29" i="30" l="1"/>
  <c r="J32" i="30" s="1"/>
  <c r="J35" i="30" l="1"/>
  <c r="K29" i="30" l="1"/>
  <c r="K32" i="30" s="1"/>
  <c r="K35" i="30" l="1"/>
  <c r="F42" i="40" l="1"/>
  <c r="F41" i="40" s="1"/>
  <c r="F49" i="40"/>
  <c r="G42" i="40" l="1"/>
  <c r="G41" i="40" s="1"/>
  <c r="H42" i="40"/>
  <c r="H41" i="40" s="1"/>
  <c r="I42" i="40"/>
  <c r="I41" i="40" s="1"/>
  <c r="J42" i="40"/>
  <c r="J41" i="40" s="1"/>
  <c r="G49" i="40"/>
  <c r="H49" i="40"/>
  <c r="I49" i="40"/>
  <c r="J49" i="40"/>
  <c r="F10" i="40"/>
  <c r="F86" i="40" s="1"/>
  <c r="F25" i="40"/>
  <c r="F87" i="40" s="1"/>
  <c r="F40" i="40"/>
  <c r="F88" i="40" s="1"/>
  <c r="F54" i="40"/>
  <c r="F57" i="40"/>
  <c r="F56" i="40" s="1"/>
  <c r="F4" i="40" s="1"/>
  <c r="F64" i="40"/>
  <c r="F34" i="41" l="1"/>
  <c r="F7" i="41" s="1"/>
  <c r="H23" i="3"/>
  <c r="I21" i="32" s="1"/>
  <c r="H33" i="3"/>
  <c r="H32" i="3"/>
  <c r="H34" i="3"/>
  <c r="F5" i="40"/>
  <c r="F91" i="40"/>
  <c r="H10" i="1" l="1"/>
  <c r="F43" i="41"/>
  <c r="F23" i="41"/>
  <c r="I100" i="32"/>
  <c r="F24" i="41" l="1"/>
  <c r="H24" i="1" s="1"/>
  <c r="H23" i="1"/>
  <c r="G10" i="40"/>
  <c r="G86" i="40" s="1"/>
  <c r="H10" i="40"/>
  <c r="H86" i="40" s="1"/>
  <c r="I10" i="40"/>
  <c r="I86" i="40" s="1"/>
  <c r="J10" i="40"/>
  <c r="J86" i="40" s="1"/>
  <c r="G25" i="40"/>
  <c r="G87" i="40" s="1"/>
  <c r="H25" i="40"/>
  <c r="H87" i="40" s="1"/>
  <c r="I25" i="40"/>
  <c r="I87" i="40" s="1"/>
  <c r="J25" i="40"/>
  <c r="J87" i="40" s="1"/>
  <c r="G40" i="40"/>
  <c r="G88" i="40" s="1"/>
  <c r="H40" i="40"/>
  <c r="H88" i="40" s="1"/>
  <c r="I40" i="40"/>
  <c r="I88" i="40" s="1"/>
  <c r="J40" i="40"/>
  <c r="J88" i="40" s="1"/>
  <c r="G54" i="40"/>
  <c r="H54" i="40"/>
  <c r="I54" i="40"/>
  <c r="J54" i="40"/>
  <c r="G57" i="40"/>
  <c r="G56" i="40" s="1"/>
  <c r="G4" i="40" s="1"/>
  <c r="H57" i="40"/>
  <c r="H56" i="40" s="1"/>
  <c r="H4" i="40" s="1"/>
  <c r="I57" i="40"/>
  <c r="I56" i="40" s="1"/>
  <c r="I4" i="40" s="1"/>
  <c r="J57" i="40"/>
  <c r="J56" i="40" s="1"/>
  <c r="J4" i="40" s="1"/>
  <c r="G64" i="40"/>
  <c r="H64" i="40"/>
  <c r="I64" i="40"/>
  <c r="J64" i="40"/>
  <c r="G91" i="40" l="1"/>
  <c r="F25" i="41"/>
  <c r="F27" i="41" s="1"/>
  <c r="H27" i="1" s="1"/>
  <c r="H36" i="3"/>
  <c r="I27" i="32" s="1"/>
  <c r="I7" i="32"/>
  <c r="E8" i="16"/>
  <c r="I35" i="32"/>
  <c r="K33" i="3"/>
  <c r="K34" i="3"/>
  <c r="K32" i="3"/>
  <c r="K23" i="3"/>
  <c r="I34" i="41"/>
  <c r="I7" i="41" s="1"/>
  <c r="L34" i="3"/>
  <c r="L32" i="3"/>
  <c r="L33" i="3"/>
  <c r="L23" i="3"/>
  <c r="J34" i="41"/>
  <c r="J7" i="41" s="1"/>
  <c r="J32" i="3"/>
  <c r="J23" i="3"/>
  <c r="L21" i="32" s="1"/>
  <c r="J34" i="3"/>
  <c r="J33" i="3"/>
  <c r="H34" i="41"/>
  <c r="H7" i="41" s="1"/>
  <c r="I23" i="3"/>
  <c r="I34" i="3"/>
  <c r="I33" i="3"/>
  <c r="I32" i="3"/>
  <c r="G34" i="41"/>
  <c r="G7" i="41" s="1"/>
  <c r="G5" i="40"/>
  <c r="H91" i="40"/>
  <c r="J91" i="40"/>
  <c r="I91" i="40"/>
  <c r="I5" i="40"/>
  <c r="J5" i="40"/>
  <c r="H5" i="40"/>
  <c r="H25" i="1" l="1"/>
  <c r="E7" i="16" s="1"/>
  <c r="F29" i="41"/>
  <c r="F28" i="41" s="1"/>
  <c r="H28" i="1" s="1"/>
  <c r="M21" i="32"/>
  <c r="L10" i="1"/>
  <c r="J43" i="41"/>
  <c r="J23" i="41"/>
  <c r="I10" i="1"/>
  <c r="G43" i="41"/>
  <c r="G23" i="41"/>
  <c r="K21" i="32"/>
  <c r="J21" i="32"/>
  <c r="J10" i="1"/>
  <c r="H43" i="41"/>
  <c r="H23" i="41"/>
  <c r="K10" i="1"/>
  <c r="I43" i="41"/>
  <c r="I23" i="41"/>
  <c r="I10" i="30"/>
  <c r="G17" i="16" s="1"/>
  <c r="H32" i="1" l="1"/>
  <c r="H55" i="3" s="1"/>
  <c r="F44" i="16" s="1"/>
  <c r="D19" i="23" s="1"/>
  <c r="F31" i="41"/>
  <c r="H36" i="1"/>
  <c r="H37" i="1"/>
  <c r="I38" i="14"/>
  <c r="H42" i="1"/>
  <c r="H35" i="3" s="1"/>
  <c r="H39" i="1"/>
  <c r="K23" i="1"/>
  <c r="L7" i="32" s="1"/>
  <c r="I24" i="41"/>
  <c r="K24" i="1" s="1"/>
  <c r="L23" i="1"/>
  <c r="M7" i="32" s="1"/>
  <c r="J24" i="41"/>
  <c r="I23" i="1"/>
  <c r="G24" i="41"/>
  <c r="I24" i="1" s="1"/>
  <c r="J23" i="1"/>
  <c r="K7" i="32" s="1"/>
  <c r="H24" i="41"/>
  <c r="J24" i="1" s="1"/>
  <c r="J10" i="30"/>
  <c r="H17" i="16" s="1"/>
  <c r="H25" i="41" l="1"/>
  <c r="J25" i="1" s="1"/>
  <c r="G7" i="16" s="1"/>
  <c r="H29" i="1"/>
  <c r="H31" i="1" s="1"/>
  <c r="I41" i="14" s="1"/>
  <c r="H54" i="3" s="1"/>
  <c r="H52" i="3" s="1"/>
  <c r="I70" i="32"/>
  <c r="I25" i="41"/>
  <c r="I27" i="41" s="1"/>
  <c r="K27" i="1" s="1"/>
  <c r="G25" i="41"/>
  <c r="I25" i="1" s="1"/>
  <c r="F7" i="16" s="1"/>
  <c r="G8" i="16"/>
  <c r="K35" i="32"/>
  <c r="J7" i="32"/>
  <c r="I36" i="3"/>
  <c r="H8" i="16"/>
  <c r="L35" i="32"/>
  <c r="J25" i="41"/>
  <c r="L24" i="1"/>
  <c r="F8" i="16"/>
  <c r="J35" i="32"/>
  <c r="F7" i="30"/>
  <c r="F10" i="30" s="1"/>
  <c r="D17" i="16" s="1"/>
  <c r="G16" i="30"/>
  <c r="F17" i="30"/>
  <c r="F20" i="30" s="1"/>
  <c r="G20" i="30" s="1"/>
  <c r="H20" i="30" s="1"/>
  <c r="I20" i="30" s="1"/>
  <c r="J20" i="30" s="1"/>
  <c r="K20" i="30" s="1"/>
  <c r="H27" i="41" l="1"/>
  <c r="J27" i="1" s="1"/>
  <c r="K25" i="1"/>
  <c r="H7" i="16" s="1"/>
  <c r="G27" i="41"/>
  <c r="I27" i="1" s="1"/>
  <c r="G29" i="41"/>
  <c r="G28" i="41" s="1"/>
  <c r="I28" i="1" s="1"/>
  <c r="H51" i="3"/>
  <c r="H40" i="1"/>
  <c r="I8" i="16"/>
  <c r="M35" i="32"/>
  <c r="J27" i="41"/>
  <c r="L27" i="1" s="1"/>
  <c r="L25" i="1"/>
  <c r="I7" i="16" s="1"/>
  <c r="J36" i="3"/>
  <c r="J27" i="32"/>
  <c r="H10" i="30"/>
  <c r="F17" i="16" s="1"/>
  <c r="G10" i="30"/>
  <c r="E17" i="16" s="1"/>
  <c r="I32" i="1" l="1"/>
  <c r="I55" i="3" s="1"/>
  <c r="I36" i="1"/>
  <c r="I39" i="1"/>
  <c r="I37" i="1"/>
  <c r="I42" i="1"/>
  <c r="I35" i="3" s="1"/>
  <c r="J38" i="14"/>
  <c r="I29" i="1" s="1"/>
  <c r="I31" i="1" s="1"/>
  <c r="J41" i="14" s="1"/>
  <c r="I54" i="3" s="1"/>
  <c r="I52" i="3" s="1"/>
  <c r="G31" i="41"/>
  <c r="H29" i="41"/>
  <c r="H28" i="41" s="1"/>
  <c r="J28" i="1" s="1"/>
  <c r="K36" i="3"/>
  <c r="K27" i="32"/>
  <c r="K10" i="30"/>
  <c r="I17" i="16" s="1"/>
  <c r="G17" i="30"/>
  <c r="G19" i="30" s="1"/>
  <c r="G62" i="30" s="1"/>
  <c r="H17" i="30"/>
  <c r="I17" i="30"/>
  <c r="J17" i="30"/>
  <c r="K17" i="30"/>
  <c r="J70" i="32" l="1"/>
  <c r="J32" i="1"/>
  <c r="J55" i="3" s="1"/>
  <c r="H31" i="41"/>
  <c r="I29" i="41"/>
  <c r="I28" i="41" s="1"/>
  <c r="K28" i="1" s="1"/>
  <c r="E14" i="16"/>
  <c r="I16" i="32"/>
  <c r="I20" i="32" s="1"/>
  <c r="I34" i="32" s="1"/>
  <c r="I36" i="32" s="1"/>
  <c r="I97" i="32" s="1"/>
  <c r="G65" i="30"/>
  <c r="L36" i="3"/>
  <c r="M27" i="32" s="1"/>
  <c r="L27" i="32"/>
  <c r="J36" i="1"/>
  <c r="J37" i="1"/>
  <c r="J39" i="1"/>
  <c r="J42" i="1"/>
  <c r="J35" i="3" s="1"/>
  <c r="K38" i="14"/>
  <c r="I51" i="3"/>
  <c r="I40" i="1"/>
  <c r="G22" i="30"/>
  <c r="I31" i="41" l="1"/>
  <c r="J29" i="41"/>
  <c r="J31" i="41" s="1"/>
  <c r="K32" i="1"/>
  <c r="K55" i="3" s="1"/>
  <c r="H16" i="30"/>
  <c r="H19" i="30" s="1"/>
  <c r="H62" i="30" s="1"/>
  <c r="H9" i="3"/>
  <c r="G54" i="30" s="1"/>
  <c r="J29" i="1"/>
  <c r="J31" i="1" s="1"/>
  <c r="K41" i="14" s="1"/>
  <c r="J54" i="3" s="1"/>
  <c r="J52" i="3" s="1"/>
  <c r="K70" i="32"/>
  <c r="K36" i="1"/>
  <c r="K39" i="1"/>
  <c r="K37" i="1"/>
  <c r="K42" i="1"/>
  <c r="K35" i="3" s="1"/>
  <c r="L38" i="14"/>
  <c r="J28" i="41" l="1"/>
  <c r="L28" i="1" s="1"/>
  <c r="L39" i="1" s="1"/>
  <c r="L32" i="1"/>
  <c r="L55" i="3" s="1"/>
  <c r="K29" i="1"/>
  <c r="K31" i="1" s="1"/>
  <c r="L41" i="14" s="1"/>
  <c r="K54" i="3" s="1"/>
  <c r="K52" i="3" s="1"/>
  <c r="L70" i="32"/>
  <c r="F14" i="16"/>
  <c r="J16" i="32"/>
  <c r="J20" i="32" s="1"/>
  <c r="J34" i="32" s="1"/>
  <c r="J36" i="32" s="1"/>
  <c r="J97" i="32" s="1"/>
  <c r="H65" i="30"/>
  <c r="J51" i="3"/>
  <c r="J40" i="1"/>
  <c r="H22" i="30"/>
  <c r="I9" i="3" s="1"/>
  <c r="L37" i="1" l="1"/>
  <c r="L42" i="1"/>
  <c r="L35" i="3" s="1"/>
  <c r="M38" i="14"/>
  <c r="L36" i="1"/>
  <c r="K51" i="3"/>
  <c r="K40" i="1"/>
  <c r="I8" i="3"/>
  <c r="H54" i="30"/>
  <c r="I16" i="30"/>
  <c r="I19" i="30" s="1"/>
  <c r="M70" i="32" l="1"/>
  <c r="L29" i="1"/>
  <c r="L31" i="1" s="1"/>
  <c r="M41" i="14" s="1"/>
  <c r="L54" i="3" s="1"/>
  <c r="L52" i="3" s="1"/>
  <c r="L51" i="3" s="1"/>
  <c r="I22" i="30"/>
  <c r="J9" i="3" s="1"/>
  <c r="I62" i="30"/>
  <c r="J16" i="30" l="1"/>
  <c r="L40" i="1"/>
  <c r="G14" i="16"/>
  <c r="K16" i="32"/>
  <c r="K20" i="32" s="1"/>
  <c r="K34" i="32" s="1"/>
  <c r="K36" i="32" s="1"/>
  <c r="K97" i="32" s="1"/>
  <c r="I65" i="30"/>
  <c r="J8" i="3"/>
  <c r="I54" i="30"/>
  <c r="J19" i="30"/>
  <c r="J22" i="30" l="1"/>
  <c r="K9" i="3" s="1"/>
  <c r="J62" i="30"/>
  <c r="K16" i="30" l="1"/>
  <c r="K19" i="30" s="1"/>
  <c r="H14" i="16"/>
  <c r="L16" i="32"/>
  <c r="L20" i="32" s="1"/>
  <c r="L34" i="32" s="1"/>
  <c r="L36" i="32" s="1"/>
  <c r="L97" i="32" s="1"/>
  <c r="J65" i="30"/>
  <c r="K8" i="3"/>
  <c r="J54" i="30"/>
  <c r="K22" i="30" l="1"/>
  <c r="L9" i="3" s="1"/>
  <c r="K62" i="30"/>
  <c r="H8" i="3"/>
  <c r="I91" i="32" s="1"/>
  <c r="I14" i="16" l="1"/>
  <c r="M16" i="32"/>
  <c r="M20" i="32" s="1"/>
  <c r="M34" i="32" s="1"/>
  <c r="M36" i="32" s="1"/>
  <c r="M97" i="32" s="1"/>
  <c r="K65" i="30"/>
  <c r="L8" i="3"/>
  <c r="K54" i="30"/>
  <c r="I92" i="32"/>
  <c r="I93" i="32" l="1"/>
  <c r="H47" i="3"/>
  <c r="J90" i="32" l="1"/>
  <c r="I99" i="32"/>
  <c r="I101" i="32" s="1"/>
  <c r="J91" i="32"/>
  <c r="H44" i="3"/>
  <c r="J92" i="32" l="1"/>
  <c r="I47" i="3" s="1"/>
  <c r="K90" i="32" s="1"/>
  <c r="I44" i="3" l="1"/>
  <c r="K91" i="32"/>
  <c r="K92" i="32" s="1"/>
  <c r="J47" i="3" s="1"/>
  <c r="J93" i="32"/>
  <c r="J99" i="32"/>
  <c r="K99" i="32" l="1"/>
  <c r="L90" i="32"/>
  <c r="L91" i="32"/>
  <c r="J44" i="3"/>
  <c r="K93" i="32"/>
  <c r="L92" i="32" l="1"/>
  <c r="K47" i="3" s="1"/>
  <c r="H34" i="1"/>
  <c r="F30" i="41"/>
  <c r="H33" i="1" s="1"/>
  <c r="D10" i="16" s="1"/>
  <c r="D12" i="16" s="1"/>
  <c r="L93" i="32" l="1"/>
  <c r="F44" i="41"/>
  <c r="F42" i="41"/>
  <c r="M90" i="32"/>
  <c r="L99" i="32"/>
  <c r="M91" i="32"/>
  <c r="K44" i="3"/>
  <c r="D13" i="16"/>
  <c r="D18" i="16" s="1"/>
  <c r="I34" i="1"/>
  <c r="J34" i="1"/>
  <c r="K34" i="1"/>
  <c r="L34" i="1"/>
  <c r="G30" i="41"/>
  <c r="I33" i="1" s="1"/>
  <c r="H30" i="41"/>
  <c r="J33" i="1" s="1"/>
  <c r="I30" i="41"/>
  <c r="K33" i="1" s="1"/>
  <c r="J30" i="41"/>
  <c r="L33" i="1" s="1"/>
  <c r="J44" i="41" l="1"/>
  <c r="M92" i="32"/>
  <c r="L47" i="3" s="1"/>
  <c r="G42" i="41"/>
  <c r="G44" i="41"/>
  <c r="J42" i="41"/>
  <c r="I42" i="41"/>
  <c r="I44" i="41"/>
  <c r="H44" i="41"/>
  <c r="I103" i="32"/>
  <c r="H38" i="3" s="1"/>
  <c r="H42" i="41"/>
  <c r="M93" i="32" l="1"/>
  <c r="M99" i="32"/>
  <c r="L44" i="3"/>
  <c r="J104" i="32"/>
  <c r="H31" i="3"/>
  <c r="I105" i="32"/>
  <c r="I67" i="32" s="1"/>
  <c r="I81" i="32" s="1"/>
  <c r="I82" i="32" s="1"/>
  <c r="I86" i="32" s="1"/>
  <c r="I106" i="32"/>
  <c r="I107" i="32" s="1"/>
  <c r="I110" i="32" l="1"/>
  <c r="I111" i="32" s="1"/>
  <c r="I112" i="32" s="1"/>
  <c r="E9" i="16" s="1"/>
  <c r="E10" i="16" s="1"/>
  <c r="E12" i="16" s="1"/>
  <c r="E13" i="16" s="1"/>
  <c r="H30" i="3"/>
  <c r="F43" i="16" s="1"/>
  <c r="D18" i="23" s="1"/>
  <c r="E11" i="16" l="1"/>
  <c r="J84" i="32"/>
  <c r="J109" i="32" s="1"/>
  <c r="J95" i="32"/>
  <c r="J101" i="32" s="1"/>
  <c r="J103" i="32" s="1"/>
  <c r="H22" i="3"/>
  <c r="I38" i="3" l="1"/>
  <c r="J106" i="32"/>
  <c r="J107" i="32" s="1"/>
  <c r="J105" i="32"/>
  <c r="H43" i="3"/>
  <c r="H50" i="3" s="1"/>
  <c r="H56" i="3" s="1"/>
  <c r="H42" i="3"/>
  <c r="H58" i="3"/>
  <c r="E16" i="16" s="1"/>
  <c r="E18" i="16" s="1"/>
  <c r="H59" i="3"/>
  <c r="E36" i="16" l="1"/>
  <c r="E19" i="16"/>
  <c r="J67" i="32"/>
  <c r="J81" i="32" s="1"/>
  <c r="J82" i="32" s="1"/>
  <c r="J86" i="32" s="1"/>
  <c r="I31" i="3"/>
  <c r="K104" i="32"/>
  <c r="J110" i="32" l="1"/>
  <c r="J111" i="32" s="1"/>
  <c r="J112" i="32" s="1"/>
  <c r="F9" i="16" s="1"/>
  <c r="F10" i="16" s="1"/>
  <c r="I30" i="3"/>
  <c r="F11" i="16" l="1"/>
  <c r="F12" i="16"/>
  <c r="F13" i="16" s="1"/>
  <c r="I22" i="3"/>
  <c r="K84" i="32"/>
  <c r="K109" i="32" s="1"/>
  <c r="K95" i="32"/>
  <c r="K101" i="32" s="1"/>
  <c r="K103" i="32" s="1"/>
  <c r="J38" i="3" l="1"/>
  <c r="K105" i="32"/>
  <c r="K67" i="32" s="1"/>
  <c r="K81" i="32" s="1"/>
  <c r="K82" i="32" s="1"/>
  <c r="K86" i="32" s="1"/>
  <c r="K106" i="32"/>
  <c r="K107" i="32" s="1"/>
  <c r="I58" i="3"/>
  <c r="F16" i="16" s="1"/>
  <c r="F18" i="16" s="1"/>
  <c r="I43" i="3"/>
  <c r="I50" i="3" s="1"/>
  <c r="I56" i="3" s="1"/>
  <c r="I42" i="3"/>
  <c r="I59" i="3"/>
  <c r="F19" i="16" l="1"/>
  <c r="F36" i="16"/>
  <c r="J30" i="3"/>
  <c r="K110" i="32"/>
  <c r="K111" i="32" s="1"/>
  <c r="K112" i="32" s="1"/>
  <c r="G9" i="16" s="1"/>
  <c r="G10" i="16" s="1"/>
  <c r="L104" i="32"/>
  <c r="J31" i="3"/>
  <c r="G11" i="16" l="1"/>
  <c r="G12" i="16"/>
  <c r="G13" i="16" s="1"/>
  <c r="L84" i="32"/>
  <c r="L109" i="32" s="1"/>
  <c r="J22" i="3"/>
  <c r="L95" i="32"/>
  <c r="L101" i="32" s="1"/>
  <c r="L103" i="32" s="1"/>
  <c r="L106" i="32" s="1"/>
  <c r="L107" i="32" s="1"/>
  <c r="J58" i="3" l="1"/>
  <c r="G16" i="16" s="1"/>
  <c r="G18" i="16" s="1"/>
  <c r="J43" i="3"/>
  <c r="J50" i="3" s="1"/>
  <c r="J56" i="3" s="1"/>
  <c r="J42" i="3"/>
  <c r="J59" i="3"/>
  <c r="K38" i="3"/>
  <c r="L105" i="32"/>
  <c r="L67" i="32" s="1"/>
  <c r="L81" i="32" s="1"/>
  <c r="L82" i="32" s="1"/>
  <c r="L86" i="32" s="1"/>
  <c r="G19" i="16" l="1"/>
  <c r="G36" i="16"/>
  <c r="K31" i="3"/>
  <c r="M104" i="32"/>
  <c r="K30" i="3"/>
  <c r="L110" i="32"/>
  <c r="L111" i="32" s="1"/>
  <c r="L112" i="32" s="1"/>
  <c r="H9" i="16" s="1"/>
  <c r="H10" i="16" s="1"/>
  <c r="H11" i="16" l="1"/>
  <c r="H12" i="16"/>
  <c r="H13" i="16" s="1"/>
  <c r="K22" i="3"/>
  <c r="K59" i="3" s="1"/>
  <c r="M95" i="32"/>
  <c r="M101" i="32" s="1"/>
  <c r="M103" i="32" s="1"/>
  <c r="M106" i="32" s="1"/>
  <c r="M107" i="32" s="1"/>
  <c r="M84" i="32"/>
  <c r="M109" i="32" s="1"/>
  <c r="K58" i="3" l="1"/>
  <c r="H16" i="16" s="1"/>
  <c r="H18" i="16" s="1"/>
  <c r="K43" i="3"/>
  <c r="K50" i="3" s="1"/>
  <c r="K56" i="3" s="1"/>
  <c r="K42" i="3"/>
  <c r="L38" i="3"/>
  <c r="L31" i="3" s="1"/>
  <c r="M105" i="32"/>
  <c r="M67" i="32" s="1"/>
  <c r="M81" i="32" s="1"/>
  <c r="M82" i="32" s="1"/>
  <c r="M86" i="32" s="1"/>
  <c r="H19" i="16" l="1"/>
  <c r="H36" i="16"/>
  <c r="L30" i="3"/>
  <c r="M110" i="32"/>
  <c r="M111" i="32" s="1"/>
  <c r="M112" i="32" s="1"/>
  <c r="I9" i="16" s="1"/>
  <c r="I10" i="16" s="1"/>
  <c r="I12" i="16" l="1"/>
  <c r="I13" i="16" s="1"/>
  <c r="I11" i="16"/>
  <c r="N27" i="32"/>
  <c r="L22" i="3"/>
  <c r="L42" i="3" l="1"/>
  <c r="L43" i="3"/>
  <c r="L50" i="3" s="1"/>
  <c r="L56" i="3" s="1"/>
  <c r="M63" i="3" s="1"/>
  <c r="L58" i="3"/>
  <c r="I16" i="16" s="1"/>
  <c r="I18" i="16" s="1"/>
  <c r="L59" i="3"/>
  <c r="I19" i="16" l="1"/>
  <c r="I36" i="16"/>
  <c r="D38" i="16" l="1"/>
  <c r="E38" i="16" l="1"/>
  <c r="F38" i="16" l="1"/>
  <c r="G38" i="16" l="1"/>
  <c r="H38" i="16" l="1"/>
  <c r="I38" i="16" l="1"/>
  <c r="J38" i="16" l="1"/>
  <c r="F40" i="16" s="1"/>
  <c r="F41" i="16"/>
  <c r="F42" i="16" l="1"/>
  <c r="D11" i="45" s="1"/>
  <c r="F45" i="16" l="1"/>
  <c r="D20" i="23" s="1"/>
  <c r="D17" i="23"/>
  <c r="F48" i="16" l="1"/>
  <c r="D21" i="23" s="1"/>
  <c r="D10" i="45" l="1"/>
  <c r="F11" i="45" s="1"/>
  <c r="C5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12" authorId="0" shapeId="0" xr:uid="{00000000-0006-0000-0100-000001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聂国娜</author>
    <author>作者</author>
  </authors>
  <commentList>
    <comment ref="A4" authorId="0" shapeId="0" xr:uid="{504536B7-B3F0-4179-8A13-A5861A50E372}">
      <text>
        <r>
          <rPr>
            <b/>
            <sz val="9"/>
            <color indexed="81"/>
            <rFont val="宋体"/>
            <family val="3"/>
            <charset val="134"/>
          </rPr>
          <t>物业租金、原材料成本、水利电费、职工薪酬</t>
        </r>
      </text>
    </comment>
    <comment ref="A7" authorId="0" shapeId="0" xr:uid="{00EA4DD6-BD3E-4178-AA9B-FD878256605D}">
      <text>
        <r>
          <rPr>
            <b/>
            <sz val="9"/>
            <color indexed="81"/>
            <rFont val="宋体"/>
            <family val="3"/>
            <charset val="134"/>
          </rPr>
          <t>根据第一财经2019年数据，新一线城市及一线城市共19个</t>
        </r>
      </text>
    </comment>
    <comment ref="E13" authorId="0" shapeId="0" xr:uid="{0B626C8F-9289-4A95-B68B-ADEFE5BE74B7}">
      <text>
        <r>
          <rPr>
            <b/>
            <sz val="9"/>
            <color indexed="81"/>
            <rFont val="宋体"/>
            <family val="3"/>
            <charset val="134"/>
          </rPr>
          <t>公司招股说明书2018年1-6月毛利率数据</t>
        </r>
      </text>
    </comment>
    <comment ref="A16" authorId="0" shapeId="0" xr:uid="{FD3A08B7-B982-4CF5-A45B-EB6ACA00292D}">
      <text>
        <r>
          <rPr>
            <b/>
            <sz val="9"/>
            <color indexed="81"/>
            <rFont val="宋体"/>
            <family val="3"/>
            <charset val="134"/>
          </rPr>
          <t>运营时间超过300天的店面</t>
        </r>
      </text>
    </comment>
    <comment ref="A18" authorId="0" shapeId="0" xr:uid="{0B1F3CB0-9F0C-4C84-85AE-16508E07C1BA}">
      <text>
        <r>
          <rPr>
            <b/>
            <sz val="9"/>
            <color indexed="81"/>
            <rFont val="宋体"/>
            <family val="3"/>
            <charset val="134"/>
          </rPr>
          <t>此为估算数据</t>
        </r>
      </text>
    </comment>
    <comment ref="F18" authorId="0" shapeId="0" xr:uid="{CFE020C8-9B95-4EB9-9306-5B124B4E45CD}">
      <text>
        <r>
          <rPr>
            <b/>
            <sz val="9"/>
            <color indexed="81"/>
            <rFont val="宋体"/>
            <family val="3"/>
            <charset val="134"/>
          </rPr>
          <t>因二线城市开店较多，此数据参考二线城市店面</t>
        </r>
      </text>
    </comment>
    <comment ref="A22" authorId="0" shapeId="0" xr:uid="{6521E937-779D-458E-9AC1-7D721B81C0EA}">
      <text>
        <r>
          <rPr>
            <b/>
            <sz val="9"/>
            <color indexed="81"/>
            <rFont val="宋体"/>
            <family val="3"/>
            <charset val="134"/>
          </rPr>
          <t>根据第一财经2019年数据，二线城市共30个</t>
        </r>
      </text>
    </comment>
    <comment ref="E28" authorId="0" shapeId="0" xr:uid="{5800EE41-9880-42DE-80F7-57ACD677CEF1}">
      <text>
        <r>
          <rPr>
            <b/>
            <sz val="9"/>
            <color indexed="81"/>
            <rFont val="宋体"/>
            <family val="3"/>
            <charset val="134"/>
          </rPr>
          <t>公司招股说明书2018年1-6月毛利率数据</t>
        </r>
      </text>
    </comment>
    <comment ref="A31" authorId="0" shapeId="0" xr:uid="{F1133FCA-7CE4-43A3-8A6D-C7ABB1E30A31}">
      <text>
        <r>
          <rPr>
            <b/>
            <sz val="9"/>
            <color indexed="81"/>
            <rFont val="宋体"/>
            <family val="3"/>
            <charset val="134"/>
          </rPr>
          <t>运营时间超过300天的店面</t>
        </r>
      </text>
    </comment>
    <comment ref="A33" authorId="0" shapeId="0" xr:uid="{8C35C986-24FF-461A-8D3A-8A7FB29DF96D}">
      <text>
        <r>
          <rPr>
            <b/>
            <sz val="9"/>
            <color indexed="81"/>
            <rFont val="宋体"/>
            <family val="3"/>
            <charset val="134"/>
          </rPr>
          <t>此为估算数据</t>
        </r>
      </text>
    </comment>
    <comment ref="A37" authorId="0" shapeId="0" xr:uid="{91490EAF-2DE6-4C54-8A4E-6396EA6E2984}">
      <text>
        <r>
          <rPr>
            <b/>
            <sz val="9"/>
            <color indexed="81"/>
            <rFont val="宋体"/>
            <family val="3"/>
            <charset val="134"/>
          </rPr>
          <t>根据第一财经2019年数据，三线及以下城市共288个</t>
        </r>
      </text>
    </comment>
    <comment ref="E43" authorId="0" shapeId="0" xr:uid="{17B732E9-9AAE-442B-BD5C-52D4672664EF}">
      <text>
        <r>
          <rPr>
            <b/>
            <sz val="9"/>
            <color indexed="81"/>
            <rFont val="宋体"/>
            <family val="3"/>
            <charset val="134"/>
          </rPr>
          <t>公司招股说明书2018年1-6月毛利率数据</t>
        </r>
      </text>
    </comment>
    <comment ref="A46" authorId="0" shapeId="0" xr:uid="{33FFDA2B-C6AD-498A-AC1E-483F93F28607}">
      <text>
        <r>
          <rPr>
            <b/>
            <sz val="9"/>
            <color indexed="81"/>
            <rFont val="宋体"/>
            <family val="3"/>
            <charset val="134"/>
          </rPr>
          <t>运营时间超过300天的店面</t>
        </r>
      </text>
    </comment>
    <comment ref="A48" authorId="0" shapeId="0" xr:uid="{BE3637AC-02D2-469A-8D8F-9A13770E59E5}">
      <text>
        <r>
          <rPr>
            <b/>
            <sz val="9"/>
            <color indexed="81"/>
            <rFont val="宋体"/>
            <family val="3"/>
            <charset val="134"/>
          </rPr>
          <t>此为估算数据</t>
        </r>
      </text>
    </comment>
    <comment ref="E58" authorId="0" shapeId="0" xr:uid="{0DA09B84-3F07-4586-A831-D8B046651494}">
      <text>
        <r>
          <rPr>
            <b/>
            <sz val="9"/>
            <color indexed="81"/>
            <rFont val="宋体"/>
            <family val="3"/>
            <charset val="134"/>
          </rPr>
          <t>公司招股说明书2018年1-6月毛利率数据</t>
        </r>
      </text>
    </comment>
    <comment ref="A61" authorId="0" shapeId="0" xr:uid="{CF6085B7-E360-42FE-9797-D446CACE20F0}">
      <text>
        <r>
          <rPr>
            <b/>
            <sz val="9"/>
            <color indexed="81"/>
            <rFont val="宋体"/>
            <family val="3"/>
            <charset val="134"/>
          </rPr>
          <t>运营时间超过300天的店面</t>
        </r>
      </text>
    </comment>
    <comment ref="A63" authorId="0" shapeId="0" xr:uid="{FB98D9C7-4F6A-44FD-A00A-DBFF6F613580}">
      <text>
        <r>
          <rPr>
            <b/>
            <sz val="9"/>
            <color indexed="81"/>
            <rFont val="宋体"/>
            <family val="3"/>
            <charset val="134"/>
          </rPr>
          <t>此为估算数据</t>
        </r>
      </text>
    </comment>
    <comment ref="A93" authorId="1" shapeId="0" xr:uid="{00000000-0006-0000-02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绝大部分为阿胶等产品的销售，也包括其它生物制药、医疗器械产品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聂国娜</author>
  </authors>
  <commentList>
    <comment ref="I35" authorId="0" shapeId="0" xr:uid="{9D117CBA-0A63-4D54-B101-E9056E237FE1}">
      <text>
        <r>
          <rPr>
            <b/>
            <sz val="11"/>
            <color indexed="81"/>
            <rFont val="宋体"/>
            <family val="3"/>
            <charset val="134"/>
          </rPr>
          <t>截至2019年12月18日，假设可转股的认股权证全部转股，则新增股票数量为35230千股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聂国娜</author>
  </authors>
  <commentList>
    <comment ref="G7" authorId="0" shapeId="0" xr:uid="{0A439686-8A27-4C86-BD41-BB5DC8184C26}">
      <text>
        <r>
          <rPr>
            <b/>
            <sz val="11"/>
            <color indexed="81"/>
            <rFont val="宋体"/>
            <family val="3"/>
            <charset val="134"/>
          </rPr>
          <t>按公司测算每家新开店的资本开支约为800-1000万人民币，取最大值1000万每家，考虑过去3年实际资本开支及开店情况，实际开支应再乘约1.2</t>
        </r>
      </text>
    </comment>
    <comment ref="G8" authorId="0" shapeId="0" xr:uid="{DF713D23-B52F-49AA-A328-3FF8989F748C}">
      <text>
        <r>
          <rPr>
            <b/>
            <sz val="11"/>
            <color indexed="81"/>
            <rFont val="宋体"/>
            <family val="3"/>
            <charset val="134"/>
          </rPr>
          <t>上市募集资金的20%用于新技术的研发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聂国娜</author>
  </authors>
  <commentList>
    <comment ref="F46" authorId="0" shapeId="0" xr:uid="{41376CC1-A395-4E9A-B481-F0FF157ABD1E}">
      <text>
        <r>
          <rPr>
            <b/>
            <sz val="12"/>
            <color indexed="81"/>
            <rFont val="宋体"/>
            <family val="3"/>
            <charset val="134"/>
          </rPr>
          <t>1港元兑0.8988人民币</t>
        </r>
      </text>
    </comment>
  </commentList>
</comments>
</file>

<file path=xl/sharedStrings.xml><?xml version="1.0" encoding="utf-8"?>
<sst xmlns="http://schemas.openxmlformats.org/spreadsheetml/2006/main" count="805" uniqueCount="477">
  <si>
    <t>一、EXCEL循环计算功能说明</t>
  </si>
  <si>
    <t>以WORD2016为例，依次点击文件-选项-公式-启用迭代计算，打开EXCEL循环计算功能。</t>
  </si>
  <si>
    <t>二、数据输入和引用说明：</t>
  </si>
  <si>
    <t>=</t>
  </si>
  <si>
    <t>输入数字假设，可以变动</t>
  </si>
  <si>
    <t>公式或给定数字，无需变动</t>
  </si>
  <si>
    <t>模型的批注</t>
  </si>
  <si>
    <t>三、估值模版各sheet颜色标记说明：</t>
  </si>
  <si>
    <t>关键假设</t>
  </si>
  <si>
    <t>相关sheet颜色</t>
  </si>
  <si>
    <t>估值过程</t>
  </si>
  <si>
    <t>结果输出</t>
  </si>
  <si>
    <t>四、估值模版运行过程说明：</t>
  </si>
  <si>
    <t>1、“资产负债表”、“利润表”的会计科目和历史数据根据公司定期报告数据做适当调整而得；</t>
  </si>
  <si>
    <t>2、结合以上历史数据及分析判断确定各预测假设参数；</t>
  </si>
  <si>
    <t>3、根据以上假设参数，生成“资产负债表”和“利润表”的预测数据；</t>
  </si>
  <si>
    <t>4、根据设定的融资假设，预测具体的融资计划，并对“资产负债表”及“利润表”进行迭代优化计算；</t>
  </si>
  <si>
    <t>5、根据迭代后的“资产负债表”和“利润表”，生成“现金流量表”；</t>
  </si>
  <si>
    <t>6、利用最终预测的三张表格进行DCF或者PE等模型估值。</t>
  </si>
  <si>
    <t>2015A</t>
  </si>
  <si>
    <t>2016A</t>
  </si>
  <si>
    <t>2017A</t>
  </si>
  <si>
    <t>2018A</t>
  </si>
  <si>
    <t>2019E</t>
  </si>
  <si>
    <t>2020E</t>
  </si>
  <si>
    <t>2021E</t>
  </si>
  <si>
    <t>2022E</t>
  </si>
  <si>
    <t>2023E</t>
  </si>
  <si>
    <t xml:space="preserve">                YoY</t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</si>
  <si>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收入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</si>
  <si>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占比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</si>
  <si>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成本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</si>
  <si>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毛利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</si>
  <si>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毛利率</t>
    </r>
    <r>
      <rPr>
        <sz val="9"/>
        <color theme="1"/>
        <rFont val="Arial"/>
        <family val="2"/>
      </rPr>
      <t>(%)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</si>
  <si>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内部抵销</t>
    </r>
  </si>
  <si>
    <t xml:space="preserve">        Sum</t>
  </si>
  <si>
    <t>关联渠道销售情况（以华润为主）</t>
  </si>
  <si>
    <t xml:space="preserve">  YoY-关联渠道收入</t>
  </si>
  <si>
    <t xml:space="preserve">  YoY-营业总收入</t>
  </si>
  <si>
    <t xml:space="preserve">  % 营业总收入</t>
  </si>
  <si>
    <t>非关联渠道销售情况</t>
  </si>
  <si>
    <t xml:space="preserve">  YoY-非关联渠道收入</t>
  </si>
  <si>
    <t>2015-12-31</t>
  </si>
  <si>
    <t>2016-12-31</t>
  </si>
  <si>
    <t>2017-12-31</t>
  </si>
  <si>
    <t>2018-12-31</t>
  </si>
  <si>
    <t>报告期</t>
  </si>
  <si>
    <t>年报</t>
  </si>
  <si>
    <t>报表类型</t>
  </si>
  <si>
    <t>合并报表</t>
  </si>
  <si>
    <t>净利润</t>
  </si>
  <si>
    <t>综合收益总额</t>
  </si>
  <si>
    <t>财务费用率</t>
  </si>
  <si>
    <t>有效税率</t>
  </si>
  <si>
    <t>营业收入-YoY</t>
  </si>
  <si>
    <t>归母净利润-YoY</t>
  </si>
  <si>
    <t>毛利率</t>
  </si>
  <si>
    <t>归母净利润率</t>
  </si>
  <si>
    <t>　　流动资产合计</t>
  </si>
  <si>
    <t>　　非流动资产合计</t>
  </si>
  <si>
    <t>　　　　应付股利</t>
  </si>
  <si>
    <t>　　　　其他应付款</t>
  </si>
  <si>
    <t>　　流动负债合计</t>
  </si>
  <si>
    <t>　　非流动负债合计</t>
  </si>
  <si>
    <t>汇率变动对现金的影响</t>
  </si>
  <si>
    <t>现金及现金等价物净增加额</t>
  </si>
  <si>
    <t>预测基准</t>
  </si>
  <si>
    <t>1、经营性流动资产</t>
  </si>
  <si>
    <t>存货周转率</t>
  </si>
  <si>
    <t>2、经营性非流动资产</t>
  </si>
  <si>
    <t>3、经营性流动负债</t>
  </si>
  <si>
    <t>4、经营性非流动负债</t>
  </si>
  <si>
    <t xml:space="preserve">    普通股</t>
  </si>
  <si>
    <t>2、期权成本假设</t>
  </si>
  <si>
    <t xml:space="preserve">    期权成本占收入比例假设</t>
  </si>
  <si>
    <t>3、权益融资净额假设</t>
  </si>
  <si>
    <t xml:space="preserve">    普通股股数</t>
  </si>
  <si>
    <t xml:space="preserve">    稀释股数</t>
  </si>
  <si>
    <t xml:space="preserve">    number of ADS outstanding</t>
  </si>
  <si>
    <t>5、分红假设</t>
  </si>
  <si>
    <t xml:space="preserve">    股利支付率</t>
  </si>
  <si>
    <t>6、储备</t>
  </si>
  <si>
    <t xml:space="preserve"> </t>
  </si>
  <si>
    <t>融资假设</t>
  </si>
  <si>
    <t>公司最低现金余额占营业收入比例为：</t>
  </si>
  <si>
    <t>公司银行结余换算利率为：</t>
  </si>
  <si>
    <t>公司短期投资利率为：</t>
  </si>
  <si>
    <t>公司短期贷款占短期应收项目比例为：</t>
  </si>
  <si>
    <t>公司短期借款利率为：</t>
  </si>
  <si>
    <t>长期借款/长期资产</t>
  </si>
  <si>
    <t>公司长期借款利率为：</t>
  </si>
  <si>
    <t>公司长期票据利率为：</t>
  </si>
  <si>
    <t>利息费用化率</t>
  </si>
  <si>
    <t>期初账面价值（净值）</t>
  </si>
  <si>
    <t xml:space="preserve">    净添置</t>
  </si>
  <si>
    <t xml:space="preserve">    年内折旧</t>
  </si>
  <si>
    <t>折旧率</t>
  </si>
  <si>
    <t>期末账面余额（净值）</t>
  </si>
  <si>
    <t>固定资产假设</t>
  </si>
  <si>
    <t>在建工程</t>
  </si>
  <si>
    <t>无形资产假设</t>
  </si>
  <si>
    <t xml:space="preserve">    年内计提摊销</t>
  </si>
  <si>
    <t>摊销率</t>
  </si>
  <si>
    <t>检验</t>
  </si>
  <si>
    <t>收入/固定资产</t>
  </si>
  <si>
    <t>收入/无形资产</t>
  </si>
  <si>
    <t>折旧与摊销汇总</t>
  </si>
  <si>
    <t>固定资产折旧</t>
  </si>
  <si>
    <t>无形资产摊销</t>
  </si>
  <si>
    <t>合计</t>
  </si>
  <si>
    <t>少数股东损益</t>
  </si>
  <si>
    <t>净利率</t>
  </si>
  <si>
    <t>营收增速</t>
  </si>
  <si>
    <t>净利润增速</t>
  </si>
  <si>
    <t>2015H</t>
  </si>
  <si>
    <t>2016H</t>
  </si>
  <si>
    <t>2017H</t>
  </si>
  <si>
    <t>资产：</t>
  </si>
  <si>
    <t>平衡测试</t>
  </si>
  <si>
    <t>运营资本测算</t>
  </si>
  <si>
    <t>资产负债率</t>
  </si>
  <si>
    <t>经营活动产生的现金流量净额</t>
  </si>
  <si>
    <t>投资活动产生的现金流量净额</t>
  </si>
  <si>
    <t>（1）长期借款假设</t>
  </si>
  <si>
    <t>期初余额</t>
  </si>
  <si>
    <t>当期增加/(减少)</t>
  </si>
  <si>
    <t>期末余额</t>
  </si>
  <si>
    <t>长期贷款利息费用</t>
  </si>
  <si>
    <t>（2）短期借款假设</t>
  </si>
  <si>
    <t>期初现金余额</t>
  </si>
  <si>
    <t>当期现金流量</t>
  </si>
  <si>
    <t>＋经营活动产生的现金流量</t>
  </si>
  <si>
    <t>＋投资活动产生的现金流量</t>
  </si>
  <si>
    <t>＋计入循环贷款前融资活动产生的现金流量</t>
  </si>
  <si>
    <t>-最低现金余额</t>
  </si>
  <si>
    <t>现金剩余/(缺口）</t>
  </si>
  <si>
    <t>短期贷款实际需求</t>
  </si>
  <si>
    <t>短期贷款期末余额</t>
  </si>
  <si>
    <t>短期贷款期初余额</t>
  </si>
  <si>
    <t>短期贷款的增加/(减少)</t>
  </si>
  <si>
    <t>短期贷款利息费用</t>
  </si>
  <si>
    <t>利息费用合计</t>
  </si>
  <si>
    <t>（3）现金测算</t>
  </si>
  <si>
    <t>利息收入</t>
  </si>
  <si>
    <t>财务费用</t>
  </si>
  <si>
    <t>加：所得税</t>
  </si>
  <si>
    <t>加：财务费用</t>
  </si>
  <si>
    <t>息税前利润（EBIT）</t>
  </si>
  <si>
    <t>同比变化（%）</t>
  </si>
  <si>
    <t>减：所得税（Taxes on EBIT）</t>
  </si>
  <si>
    <t>税后经营利润 (NOPAT)</t>
  </si>
  <si>
    <t>加：折旧</t>
  </si>
  <si>
    <t>加：摊销</t>
  </si>
  <si>
    <t>减：营运资本的增加（加：减少）</t>
  </si>
  <si>
    <t>减：资本性支出</t>
  </si>
  <si>
    <t xml:space="preserve">企业自由现金流量 </t>
  </si>
  <si>
    <t>2024E</t>
  </si>
  <si>
    <t>2025E</t>
  </si>
  <si>
    <t>2026E</t>
  </si>
  <si>
    <t>2027E</t>
  </si>
  <si>
    <t>2028E</t>
  </si>
  <si>
    <t>2029E</t>
  </si>
  <si>
    <t>2030E</t>
  </si>
  <si>
    <t>企业自由现金流量 （中期预测）</t>
  </si>
  <si>
    <t>参数假设</t>
  </si>
  <si>
    <t>适用折现率：</t>
  </si>
  <si>
    <t>最新日期</t>
  </si>
  <si>
    <t>永续增长率g</t>
  </si>
  <si>
    <t>税后债务成本率</t>
  </si>
  <si>
    <t>股权成本率</t>
  </si>
  <si>
    <t>无风险报酬率</t>
  </si>
  <si>
    <t>风险补偿率</t>
  </si>
  <si>
    <t>贝塔系数</t>
  </si>
  <si>
    <t>股票代码</t>
  </si>
  <si>
    <t>股票名称</t>
  </si>
  <si>
    <t>目标资本结构</t>
  </si>
  <si>
    <t>折现过程及结果</t>
  </si>
  <si>
    <r>
      <rPr>
        <sz val="11"/>
        <rFont val="微软雅黑"/>
        <family val="2"/>
        <charset val="134"/>
      </rPr>
      <t>折现系数1/(1+k)</t>
    </r>
    <r>
      <rPr>
        <vertAlign val="superscript"/>
        <sz val="11"/>
        <rFont val="微软雅黑"/>
        <family val="2"/>
        <charset val="134"/>
      </rPr>
      <t xml:space="preserve">t </t>
    </r>
  </si>
  <si>
    <t>预测期（2019-2023）自由现金流量现值</t>
  </si>
  <si>
    <t>预测期（2024-2031）自由现金流量现值</t>
  </si>
  <si>
    <t>预测期自由现金流量总计（亿元）</t>
  </si>
  <si>
    <t>永续期自由现金流量总计（亿元）</t>
  </si>
  <si>
    <t>企业价值（亿元）</t>
  </si>
  <si>
    <t>减净负债（亿元）</t>
  </si>
  <si>
    <t>减少数股东权益（亿元）</t>
  </si>
  <si>
    <t>归属母公司的股权价值合计（亿元）</t>
  </si>
  <si>
    <t>敏感性分析</t>
  </si>
  <si>
    <t>WACC/g</t>
  </si>
  <si>
    <t>估值参数</t>
  </si>
  <si>
    <t>估值结果</t>
  </si>
  <si>
    <t>企业价值</t>
  </si>
  <si>
    <t>亿元</t>
  </si>
  <si>
    <t>减净负债</t>
  </si>
  <si>
    <t>减少数股东权益</t>
  </si>
  <si>
    <t>归属母公司权益价值</t>
  </si>
  <si>
    <t>DCF估值对应股价</t>
  </si>
  <si>
    <t>元</t>
  </si>
  <si>
    <t>当前股价</t>
  </si>
  <si>
    <t>年末日期</t>
    <phoneticPr fontId="37" type="noConversion"/>
  </si>
  <si>
    <t>建模机构：</t>
  </si>
  <si>
    <t>建模标的：</t>
  </si>
  <si>
    <t>建模日期：</t>
  </si>
  <si>
    <t>证券代码：</t>
  </si>
  <si>
    <t>建模人员：</t>
  </si>
  <si>
    <t>行业：</t>
  </si>
  <si>
    <t>估值结果（元/股）：</t>
  </si>
  <si>
    <t>现价（元/股）：</t>
  </si>
  <si>
    <t>企业价值(亿元）：</t>
  </si>
  <si>
    <t>溢价率：</t>
  </si>
  <si>
    <t>本模型有效期：</t>
  </si>
  <si>
    <t>本模型适应人员：</t>
  </si>
  <si>
    <t>基金经理、权益投资机构、高净值价值投资者</t>
  </si>
  <si>
    <t>免责声明</t>
  </si>
  <si>
    <t>本文的信息来源于已公开资料，本人对该等信息的准确性、完整性或可靠性不作任何保证。在任何情况下，本模型中的结果或所表达的意见均不构成对任何人的投资建议，在任何情况下，本公司、本公司员工或关联机构不承诺任何投资收益保证，不与投资者分项任何投资收益，也不对任何人因使用本模型所带来的任何后果负任何责任。投资者务必注意，据此模型做出的任何投资行为均与本公司、本公司员工或关联机构无关。用户须依靠自己的判断作出决策，风险自负。</t>
  </si>
  <si>
    <t>大简</t>
    <phoneticPr fontId="37" type="noConversion"/>
  </si>
  <si>
    <t>2019/12/12-2019/12/31</t>
    <phoneticPr fontId="37" type="noConversion"/>
  </si>
  <si>
    <t>招股说明书147-149</t>
    <phoneticPr fontId="37" type="noConversion"/>
  </si>
  <si>
    <t>招股说明书153</t>
    <phoneticPr fontId="37" type="noConversion"/>
  </si>
  <si>
    <t>招股说明书324</t>
    <phoneticPr fontId="37" type="noConversion"/>
  </si>
  <si>
    <t>分地区</t>
    <phoneticPr fontId="37" type="noConversion"/>
  </si>
  <si>
    <r>
      <t xml:space="preserve">        </t>
    </r>
    <r>
      <rPr>
        <b/>
        <sz val="9"/>
        <color theme="1"/>
        <rFont val="宋体"/>
        <family val="3"/>
        <charset val="134"/>
      </rPr>
      <t>中国大陆以外</t>
    </r>
    <phoneticPr fontId="37" type="noConversion"/>
  </si>
  <si>
    <r>
      <t xml:space="preserve">       </t>
    </r>
    <r>
      <rPr>
        <b/>
        <sz val="9"/>
        <color theme="1"/>
        <rFont val="宋体"/>
        <family val="3"/>
        <charset val="134"/>
      </rPr>
      <t>一线城市</t>
    </r>
    <phoneticPr fontId="37" type="noConversion"/>
  </si>
  <si>
    <r>
      <t xml:space="preserve">       </t>
    </r>
    <r>
      <rPr>
        <b/>
        <sz val="9"/>
        <color theme="1"/>
        <rFont val="宋体"/>
        <family val="3"/>
        <charset val="134"/>
      </rPr>
      <t>二线城市</t>
    </r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</si>
  <si>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餐厅总数（家）</t>
    </r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</si>
  <si>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成熟门店单店收入</t>
    </r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</si>
  <si>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平均单店收入</t>
    </r>
    <phoneticPr fontId="37" type="noConversion"/>
  </si>
  <si>
    <r>
      <t xml:space="preserve">       </t>
    </r>
    <r>
      <rPr>
        <b/>
        <sz val="9"/>
        <color theme="1"/>
        <rFont val="宋体"/>
        <family val="3"/>
        <charset val="134"/>
      </rPr>
      <t>三线及以下城市</t>
    </r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</si>
  <si>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期初餐厅数量</t>
    </r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</si>
  <si>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期内新开设餐厅数量</t>
    </r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</si>
  <si>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期内关闭餐厅数量</t>
    </r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</si>
  <si>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期末餐厅数量</t>
    </r>
    <phoneticPr fontId="37" type="noConversion"/>
  </si>
  <si>
    <t>营业收入</t>
  </si>
  <si>
    <t>营业收入</t>
    <phoneticPr fontId="37" type="noConversion"/>
  </si>
  <si>
    <t>营业成本</t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</si>
  <si>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新增餐厅数量（家）</t>
    </r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</si>
  <si>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新增门店单店收入</t>
    </r>
    <phoneticPr fontId="37" type="noConversion"/>
  </si>
  <si>
    <r>
      <t xml:space="preserve">                        </t>
    </r>
    <r>
      <rPr>
        <sz val="9"/>
        <color theme="1"/>
        <rFont val="宋体"/>
        <family val="3"/>
        <charset val="134"/>
      </rPr>
      <t>成熟门店</t>
    </r>
    <r>
      <rPr>
        <sz val="9"/>
        <color theme="1"/>
        <rFont val="Arial"/>
        <family val="2"/>
      </rPr>
      <t>YOY</t>
    </r>
    <phoneticPr fontId="37" type="noConversion"/>
  </si>
  <si>
    <r>
      <t>(</t>
    </r>
    <r>
      <rPr>
        <b/>
        <sz val="9"/>
        <color theme="1"/>
        <rFont val="宋体"/>
        <family val="3"/>
        <charset val="134"/>
      </rPr>
      <t>人民币：千元</t>
    </r>
    <r>
      <rPr>
        <b/>
        <sz val="9"/>
        <color theme="1"/>
        <rFont val="Arial"/>
        <family val="2"/>
      </rPr>
      <t>)</t>
    </r>
    <phoneticPr fontId="37" type="noConversion"/>
  </si>
  <si>
    <r>
      <t xml:space="preserve">        </t>
    </r>
    <r>
      <rPr>
        <b/>
        <sz val="9"/>
        <color theme="1"/>
        <rFont val="宋体"/>
        <family val="3"/>
        <charset val="134"/>
      </rPr>
      <t>餐厅整体数量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</si>
  <si>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一线城市餐厅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</si>
  <si>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二线城市餐厅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</si>
  <si>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三线城市餐厅</t>
    </r>
    <phoneticPr fontId="37" type="noConversion"/>
  </si>
  <si>
    <t>收入贡献（分地区）</t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</si>
  <si>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中国大陆以外餐厅</t>
    </r>
    <phoneticPr fontId="37" type="noConversion"/>
  </si>
  <si>
    <r>
      <rPr>
        <b/>
        <sz val="9"/>
        <color theme="1"/>
        <rFont val="宋体"/>
        <family val="3"/>
        <charset val="134"/>
      </rPr>
      <t>利润表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千元</t>
    </r>
    <r>
      <rPr>
        <b/>
        <sz val="9"/>
        <color theme="1"/>
        <rFont val="Arial"/>
        <family val="2"/>
      </rPr>
      <t>)</t>
    </r>
    <phoneticPr fontId="37" type="noConversion"/>
  </si>
  <si>
    <t>其他收入-经营</t>
  </si>
  <si>
    <t>原材料及消耗品</t>
  </si>
  <si>
    <t>职工薪酬</t>
  </si>
  <si>
    <t>物业租金及相关开支</t>
  </si>
  <si>
    <t>水利电开支</t>
  </si>
  <si>
    <t>折旧及摊销</t>
  </si>
  <si>
    <t>交通及差旅费用</t>
  </si>
  <si>
    <t>上市费用</t>
  </si>
  <si>
    <t>其他支出-经营</t>
  </si>
  <si>
    <t>应占联营公司损益</t>
  </si>
  <si>
    <t>应占共同控制实体损益</t>
  </si>
  <si>
    <t>其他经营净收益</t>
  </si>
  <si>
    <t>除税前溢利(合计平衡项目)</t>
  </si>
  <si>
    <t>除税前溢利</t>
  </si>
  <si>
    <t>所得税</t>
  </si>
  <si>
    <t>净利润(含少数股东权益)</t>
  </si>
  <si>
    <t>其他综合收益-汇兑差额-海外业务换算</t>
  </si>
  <si>
    <t>净利润(不含少数股东权益)</t>
  </si>
  <si>
    <t>综合收益总额(母公司)</t>
  </si>
  <si>
    <t>综合收益总额(少数股东)</t>
  </si>
  <si>
    <t>2015A</t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</si>
  <si>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物业</t>
    </r>
    <r>
      <rPr>
        <sz val="9"/>
        <color theme="1"/>
        <rFont val="Arial"/>
        <family val="2"/>
      </rPr>
      <t>,</t>
    </r>
    <r>
      <rPr>
        <sz val="9"/>
        <color theme="1"/>
        <rFont val="宋体"/>
        <family val="3"/>
        <charset val="134"/>
      </rPr>
      <t>厂房及设备折旧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</si>
  <si>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无形资产摊销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</si>
  <si>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使用权资产折旧</t>
    </r>
    <phoneticPr fontId="37" type="noConversion"/>
  </si>
  <si>
    <t>原材料及消耗品/营业收入</t>
    <phoneticPr fontId="37" type="noConversion"/>
  </si>
  <si>
    <t>职工薪酬/营业收入</t>
    <phoneticPr fontId="37" type="noConversion"/>
  </si>
  <si>
    <t>物业租金及相关开支/营业收入</t>
    <phoneticPr fontId="37" type="noConversion"/>
  </si>
  <si>
    <t>水利电开支/营业收入</t>
    <phoneticPr fontId="37" type="noConversion"/>
  </si>
  <si>
    <t>折旧及摊销/营业收入</t>
    <phoneticPr fontId="37" type="noConversion"/>
  </si>
  <si>
    <r>
      <rPr>
        <b/>
        <sz val="9"/>
        <color theme="1"/>
        <rFont val="宋体"/>
        <family val="3"/>
        <charset val="134"/>
      </rPr>
      <t>资产负债表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千元</t>
    </r>
    <r>
      <rPr>
        <b/>
        <sz val="9"/>
        <color theme="1"/>
        <rFont val="Arial"/>
        <family val="2"/>
      </rPr>
      <t>)</t>
    </r>
    <phoneticPr fontId="37" type="noConversion"/>
  </si>
  <si>
    <t>　　　　固定资产-物业,厂房及设备</t>
  </si>
  <si>
    <t>　　　　商誉</t>
  </si>
  <si>
    <t>　　　　无形资产</t>
  </si>
  <si>
    <t>　　　　有使用权资产-非流动资产</t>
  </si>
  <si>
    <t>　　　　于联营公司之权益</t>
  </si>
  <si>
    <t>　　　　应收关联方款项-非流动资产</t>
  </si>
  <si>
    <t>　　　　投资于合资企业-非流动资产</t>
  </si>
  <si>
    <t>　　　　递延税项资产-非流动资产</t>
  </si>
  <si>
    <t>　　　　存款(存放于金融机构)-非流动资产</t>
  </si>
  <si>
    <t>　　　　租金按金-非流动资产</t>
  </si>
  <si>
    <t>　　　　按公允值计入损益的金融资产-非流动资产</t>
  </si>
  <si>
    <t>　　　　可供出售投资-非流动资产</t>
  </si>
  <si>
    <t>　　　　其他非流动资产</t>
  </si>
  <si>
    <t>　　　　存货</t>
  </si>
  <si>
    <t>　　　　应收账款,其他应收账款及预付款项</t>
  </si>
  <si>
    <t>　　　　应收关联方款项-流动资产</t>
  </si>
  <si>
    <t>　　　　按公允值计入损益的金融资产</t>
  </si>
  <si>
    <t>　　　　存放于财务机构之存款</t>
  </si>
  <si>
    <t>　　　　其它金融资产-流动资产</t>
  </si>
  <si>
    <t>　　　　已抵押银行存款-流动资产</t>
  </si>
  <si>
    <t>　　　　货币资金</t>
  </si>
  <si>
    <t>　　　　应付账款</t>
  </si>
  <si>
    <t>　　　　应付关联方款项-流动负债</t>
  </si>
  <si>
    <t>　　　　应交税费</t>
  </si>
  <si>
    <t>　　　　租赁-流动负债</t>
  </si>
  <si>
    <t>　　　　短期借款</t>
  </si>
  <si>
    <t>　　　　合同负债-流动负债</t>
  </si>
  <si>
    <t>　　　　递延收入-流动负债</t>
  </si>
  <si>
    <t>　　　　其他短期借款</t>
  </si>
  <si>
    <t>　　流动资产/(负债)净值</t>
  </si>
  <si>
    <t>　　资产总额减流动负债</t>
  </si>
  <si>
    <t>　　　　递延税项负债-非流动</t>
  </si>
  <si>
    <t>　　　　租赁-非流动负债</t>
  </si>
  <si>
    <t>　　　　长期借款</t>
  </si>
  <si>
    <t>　　　　其他长期贷款</t>
  </si>
  <si>
    <t>　　　　拨备-非流动负债</t>
  </si>
  <si>
    <t>　　总资产减总负债</t>
  </si>
  <si>
    <t>　　股东权益合计(含少数股东权益)</t>
  </si>
  <si>
    <t>　　　　股东权益合计(不含少数股东权益)</t>
  </si>
  <si>
    <t>　　　　　　股本</t>
  </si>
  <si>
    <t>　　　　　　储备</t>
  </si>
  <si>
    <t>　　　　少数股东权益</t>
  </si>
  <si>
    <t>除税前(亏损)/溢利</t>
  </si>
  <si>
    <t>无形资产折旧</t>
  </si>
  <si>
    <t>应占联营公司之溢利/亏损</t>
  </si>
  <si>
    <t>应占共同控制实体之溢利/亏损</t>
  </si>
  <si>
    <t>处置物业,厂房及设备之亏损</t>
  </si>
  <si>
    <t>其他无形资产摊销</t>
  </si>
  <si>
    <t>物业,厂房及设备折旧</t>
  </si>
  <si>
    <t>按公平值透过损益列账金融资产之公平值(收益)/亏损</t>
  </si>
  <si>
    <t>汇兑(收益)/损失</t>
  </si>
  <si>
    <t>营运资本变动前之现金流量</t>
  </si>
  <si>
    <t>(增加)/减少存货</t>
  </si>
  <si>
    <t>(增加)/减少应收账款</t>
  </si>
  <si>
    <t>增加/(减少)应付账款</t>
  </si>
  <si>
    <t>(增加)/减少应收账款,其他应收款项及预付款项</t>
  </si>
  <si>
    <t>(增加)/减少应收账款及其他应收款</t>
  </si>
  <si>
    <t>增加/(减少)租赁按金</t>
  </si>
  <si>
    <t>增加/(减少)其他应付款</t>
  </si>
  <si>
    <t>(增加)/减少交易性投资</t>
  </si>
  <si>
    <t>(增加)/减少按金,预付款项及其他应收款</t>
  </si>
  <si>
    <t>(增加)/减少应收关联方款</t>
  </si>
  <si>
    <t>增加/(减少)拨备</t>
  </si>
  <si>
    <t>增加/(减少)合约负债-经营活动</t>
  </si>
  <si>
    <t>增加/(减少)应付关联方款项</t>
  </si>
  <si>
    <t>经营活动之现金</t>
  </si>
  <si>
    <t>已付所得税</t>
  </si>
  <si>
    <t>处置物业,厂房及设备所得款</t>
  </si>
  <si>
    <t>于联营公司投资</t>
  </si>
  <si>
    <t>购买其他金融资产</t>
  </si>
  <si>
    <t>已抵押银行存款减少-投资活动</t>
  </si>
  <si>
    <t>购买物业,厂房及设备</t>
  </si>
  <si>
    <t>购买可供出售投资</t>
  </si>
  <si>
    <t>已收利息-投资活动</t>
  </si>
  <si>
    <t>出售按公允值计入损益之金融资产所得款</t>
  </si>
  <si>
    <t>已收银行存款利息-投资活动</t>
  </si>
  <si>
    <t>出售指定按公平值计入损益之金融资产所得款项</t>
  </si>
  <si>
    <t>自其他金融资产收取的利息-投资活动</t>
  </si>
  <si>
    <t>出售其他金融资产所得款</t>
  </si>
  <si>
    <t>购买按公平值计入损益之金融资产-投资活动</t>
  </si>
  <si>
    <t>于共同控制实体投资</t>
  </si>
  <si>
    <t>购买其他无形资产</t>
  </si>
  <si>
    <t>向关联方偿还贷款所收到的现金-投资活动</t>
  </si>
  <si>
    <t>银行及其他金融机构存款增加-投资活动</t>
  </si>
  <si>
    <t>赎回存放于金融机构之存款</t>
  </si>
  <si>
    <t>已收取来自银行及金融机构之利息-投资活动</t>
  </si>
  <si>
    <t>预付租赁款的已付按金-投资活动</t>
  </si>
  <si>
    <t>向关联方贷款-投资活动</t>
  </si>
  <si>
    <t>购买无形资产</t>
  </si>
  <si>
    <t>收回对关联方的有息贷款-投资活动</t>
  </si>
  <si>
    <t>收购附属公司-投资活动</t>
  </si>
  <si>
    <t>租赁奖励收到的现金</t>
  </si>
  <si>
    <t>租赁奖励付款</t>
  </si>
  <si>
    <t>已授予关联方贷款</t>
  </si>
  <si>
    <t>金融机构之存款增加-投资活动</t>
  </si>
  <si>
    <t>已抵押银行存款增加-投资活动</t>
  </si>
  <si>
    <t>偿还银行借贷</t>
  </si>
  <si>
    <t>已付股息-筹资活动</t>
  </si>
  <si>
    <t>借款所得款</t>
  </si>
  <si>
    <t>予关联方的贷款</t>
  </si>
  <si>
    <t>银行借贷所得款</t>
  </si>
  <si>
    <t>增购附属公司权益-筹资活动</t>
  </si>
  <si>
    <t>发行股份所得款项</t>
  </si>
  <si>
    <t>偿还来自关联方之贷款-筹资活动</t>
  </si>
  <si>
    <t>重组时收购附属公司的付款-筹资活动</t>
  </si>
  <si>
    <t>少数股东权益出资-筹资活动</t>
  </si>
  <si>
    <t>偿还租赁负债</t>
  </si>
  <si>
    <t>股份发行开支款项</t>
  </si>
  <si>
    <t>资本注资所得款</t>
  </si>
  <si>
    <t>已付利息-筹资活动</t>
  </si>
  <si>
    <t>筹资活动产生的现金流量净额</t>
  </si>
  <si>
    <t>四川海底捞分公司所用现金净额</t>
  </si>
  <si>
    <t>期初现金及现金等价物余额</t>
  </si>
  <si>
    <t>期末现金及现金等价物余额</t>
  </si>
  <si>
    <r>
      <rPr>
        <b/>
        <sz val="9"/>
        <color theme="1"/>
        <rFont val="宋体"/>
        <family val="3"/>
        <charset val="134"/>
      </rPr>
      <t>现金流量表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千元</t>
    </r>
    <r>
      <rPr>
        <b/>
        <sz val="9"/>
        <color theme="1"/>
        <rFont val="Arial"/>
        <family val="2"/>
      </rPr>
      <t>)</t>
    </r>
    <phoneticPr fontId="37" type="noConversion"/>
  </si>
  <si>
    <t xml:space="preserve">      其他收入-经营</t>
    <phoneticPr fontId="37" type="noConversion"/>
  </si>
  <si>
    <t xml:space="preserve">      原材料及消耗品</t>
    <phoneticPr fontId="37" type="noConversion"/>
  </si>
  <si>
    <t xml:space="preserve">      职工薪酬</t>
    <phoneticPr fontId="37" type="noConversion"/>
  </si>
  <si>
    <t xml:space="preserve">      物业租金及相关开支</t>
    <phoneticPr fontId="37" type="noConversion"/>
  </si>
  <si>
    <t xml:space="preserve">      水利电开支</t>
    <phoneticPr fontId="37" type="noConversion"/>
  </si>
  <si>
    <t xml:space="preserve">      折旧及摊销</t>
    <phoneticPr fontId="37" type="noConversion"/>
  </si>
  <si>
    <t xml:space="preserve">      交通及差旅费用</t>
    <phoneticPr fontId="37" type="noConversion"/>
  </si>
  <si>
    <t xml:space="preserve">      上市费用</t>
    <phoneticPr fontId="37" type="noConversion"/>
  </si>
  <si>
    <t xml:space="preserve">      其他支出-经营</t>
    <phoneticPr fontId="37" type="noConversion"/>
  </si>
  <si>
    <t xml:space="preserve">      应占联营公司损益</t>
    <phoneticPr fontId="37" type="noConversion"/>
  </si>
  <si>
    <t xml:space="preserve">      应占共同控制实体损益</t>
    <phoneticPr fontId="37" type="noConversion"/>
  </si>
  <si>
    <t xml:space="preserve">      其他经营净收益</t>
    <phoneticPr fontId="37" type="noConversion"/>
  </si>
  <si>
    <t xml:space="preserve">      财务费用</t>
    <phoneticPr fontId="37" type="noConversion"/>
  </si>
  <si>
    <t xml:space="preserve">      除税前溢利(合计平衡项目)</t>
    <phoneticPr fontId="37" type="noConversion"/>
  </si>
  <si>
    <t xml:space="preserve">      营业收入</t>
    <phoneticPr fontId="37" type="noConversion"/>
  </si>
  <si>
    <t xml:space="preserve">            同比增速</t>
    <phoneticPr fontId="37" type="noConversion"/>
  </si>
  <si>
    <t xml:space="preserve">      除税前溢利</t>
    <phoneticPr fontId="37" type="noConversion"/>
  </si>
  <si>
    <t xml:space="preserve">      所得税</t>
    <phoneticPr fontId="37" type="noConversion"/>
  </si>
  <si>
    <t xml:space="preserve">      净利润(含少数股东权益)</t>
    <phoneticPr fontId="37" type="noConversion"/>
  </si>
  <si>
    <t xml:space="preserve">      其他综合收益-汇兑差额-海外业务换算</t>
    <phoneticPr fontId="37" type="noConversion"/>
  </si>
  <si>
    <t xml:space="preserve">      综合收益总额</t>
    <phoneticPr fontId="37" type="noConversion"/>
  </si>
  <si>
    <t xml:space="preserve">      少数股东损益</t>
    <phoneticPr fontId="37" type="noConversion"/>
  </si>
  <si>
    <t xml:space="preserve">      综合收益总额(母公司)</t>
    <phoneticPr fontId="37" type="noConversion"/>
  </si>
  <si>
    <t xml:space="preserve">      综合收益总额(少数股东)</t>
    <phoneticPr fontId="37" type="noConversion"/>
  </si>
  <si>
    <t xml:space="preserve">             分红</t>
    <phoneticPr fontId="37" type="noConversion"/>
  </si>
  <si>
    <t xml:space="preserve">                 股利支付率</t>
    <phoneticPr fontId="37" type="noConversion"/>
  </si>
  <si>
    <t xml:space="preserve">             分红后留存利润</t>
    <phoneticPr fontId="37" type="noConversion"/>
  </si>
  <si>
    <t xml:space="preserve">     每股收益：</t>
    <phoneticPr fontId="37" type="noConversion"/>
  </si>
  <si>
    <t xml:space="preserve">             摊薄每股收益</t>
    <phoneticPr fontId="37" type="noConversion"/>
  </si>
  <si>
    <t>年结日：12月31日&amp;单位：千元</t>
    <phoneticPr fontId="37" type="noConversion"/>
  </si>
  <si>
    <t>　　　    存款(存放于金融机构)-非流动资产</t>
    <phoneticPr fontId="37" type="noConversion"/>
  </si>
  <si>
    <t>1、营运资本变动前之现金流量</t>
    <phoneticPr fontId="37" type="noConversion"/>
  </si>
  <si>
    <t>2、经营活动之现金</t>
    <phoneticPr fontId="37" type="noConversion"/>
  </si>
  <si>
    <t>3、经营活动产生的现金流量净额</t>
    <phoneticPr fontId="37" type="noConversion"/>
  </si>
  <si>
    <t>4、投资活动产生的现金流量净额</t>
    <phoneticPr fontId="37" type="noConversion"/>
  </si>
  <si>
    <t>5、筹资活动产生的现金流量净额</t>
    <phoneticPr fontId="37" type="noConversion"/>
  </si>
  <si>
    <t>6、借款循环假设：</t>
    <phoneticPr fontId="37" type="noConversion"/>
  </si>
  <si>
    <t>紫色</t>
    <phoneticPr fontId="37" type="noConversion"/>
  </si>
  <si>
    <t>蓝色</t>
    <phoneticPr fontId="37" type="noConversion"/>
  </si>
  <si>
    <t>绿色</t>
    <phoneticPr fontId="37" type="noConversion"/>
  </si>
  <si>
    <t>　　　　应收账款,其他应收账款及预付款项</t>
    <phoneticPr fontId="37" type="noConversion"/>
  </si>
  <si>
    <t>应收账款,其他应收账款及预付款项周转率</t>
    <phoneticPr fontId="37" type="noConversion"/>
  </si>
  <si>
    <t>　　　　应收关联方款项-流动资产</t>
    <phoneticPr fontId="37" type="noConversion"/>
  </si>
  <si>
    <t>应收关联方款项-流动资产周转率</t>
    <phoneticPr fontId="37" type="noConversion"/>
  </si>
  <si>
    <t>　　　　应收关联方款项-非流动资产</t>
    <phoneticPr fontId="37" type="noConversion"/>
  </si>
  <si>
    <t>应付账款周转率</t>
    <phoneticPr fontId="37" type="noConversion"/>
  </si>
  <si>
    <t>其他应付款周转率</t>
    <phoneticPr fontId="37" type="noConversion"/>
  </si>
  <si>
    <t>　　　　应付关联方款项-流动负债</t>
    <phoneticPr fontId="37" type="noConversion"/>
  </si>
  <si>
    <t>应付关联方款项-流动负债周转率</t>
    <phoneticPr fontId="37" type="noConversion"/>
  </si>
  <si>
    <t>资产负债科目周转率假设</t>
    <phoneticPr fontId="37" type="noConversion"/>
  </si>
  <si>
    <t>1、股本(千股)</t>
    <phoneticPr fontId="37" type="noConversion"/>
  </si>
  <si>
    <t xml:space="preserve">             稀释每股收益</t>
    <phoneticPr fontId="37" type="noConversion"/>
  </si>
  <si>
    <t>4、股本假设(千股)</t>
    <phoneticPr fontId="37" type="noConversion"/>
  </si>
  <si>
    <t>权益科目假设（千元）</t>
    <phoneticPr fontId="37" type="noConversion"/>
  </si>
  <si>
    <t xml:space="preserve">       净利润(不含少数股东权益)</t>
    <phoneticPr fontId="37" type="noConversion"/>
  </si>
  <si>
    <t>摊薄ROE检验</t>
    <phoneticPr fontId="37" type="noConversion"/>
  </si>
  <si>
    <t>单位：千元</t>
    <phoneticPr fontId="37" type="noConversion"/>
  </si>
  <si>
    <t>资本开支汇总（千元）</t>
    <phoneticPr fontId="37" type="noConversion"/>
  </si>
  <si>
    <t>使用权资产折旧假设</t>
    <phoneticPr fontId="37" type="noConversion"/>
  </si>
  <si>
    <t>使用权资产折旧</t>
    <phoneticPr fontId="37" type="noConversion"/>
  </si>
  <si>
    <t>　　　　有使用权资产-非流动资产</t>
    <phoneticPr fontId="37" type="noConversion"/>
  </si>
  <si>
    <t>收入/有使用权资产</t>
    <phoneticPr fontId="37" type="noConversion"/>
  </si>
  <si>
    <t>（1）固定资产投资额</t>
    <phoneticPr fontId="37" type="noConversion"/>
  </si>
  <si>
    <t>（2）无形资产投资额</t>
    <phoneticPr fontId="37" type="noConversion"/>
  </si>
  <si>
    <t>（3）有使用权资产投资额</t>
    <phoneticPr fontId="37" type="noConversion"/>
  </si>
  <si>
    <t>（4）资本开支合计</t>
    <phoneticPr fontId="37" type="noConversion"/>
  </si>
  <si>
    <t>无形资产摊销</t>
    <phoneticPr fontId="37" type="noConversion"/>
  </si>
  <si>
    <t>6862.HK</t>
    <phoneticPr fontId="37" type="noConversion"/>
  </si>
  <si>
    <t>海底捞</t>
    <phoneticPr fontId="37" type="noConversion"/>
  </si>
  <si>
    <t>当前股价（港元）</t>
    <phoneticPr fontId="37" type="noConversion"/>
  </si>
  <si>
    <t>DCF估值对应股价（港元）</t>
    <phoneticPr fontId="37" type="noConversion"/>
  </si>
  <si>
    <t>当前市值（亿港元）</t>
    <phoneticPr fontId="37" type="noConversion"/>
  </si>
  <si>
    <t>当前市值（亿元）</t>
    <phoneticPr fontId="37" type="noConversion"/>
  </si>
  <si>
    <t>海底捞估值模型</t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</si>
  <si>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一线城市餐厅数量</t>
    </r>
    <phoneticPr fontId="37" type="noConversion"/>
  </si>
  <si>
    <r>
      <t xml:space="preserve">        </t>
    </r>
    <r>
      <rPr>
        <b/>
        <sz val="9"/>
        <color theme="1"/>
        <rFont val="宋体"/>
        <family val="3"/>
        <charset val="134"/>
      </rPr>
      <t>各线城市餐厅情况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</si>
  <si>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一线城市数量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</si>
  <si>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二线城市数量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</si>
  <si>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二线城市餐厅数量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</si>
  <si>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餐厅数量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一线城市数量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</si>
  <si>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餐厅数量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二线城市数量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</si>
  <si>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三线及以下城市数量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</si>
  <si>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三线及以下城市餐厅数量</t>
    </r>
    <phoneticPr fontId="37" type="noConversion"/>
  </si>
  <si>
    <r>
      <t xml:space="preserve">        </t>
    </r>
    <r>
      <rPr>
        <sz val="9"/>
        <color theme="1"/>
        <rFont val="宋体"/>
        <family val="3"/>
        <charset val="134"/>
      </rPr>
      <t>餐厅数量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三线及以下城市数量</t>
    </r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</si>
  <si>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人均消费金额（元）</t>
    </r>
    <phoneticPr fontId="37" type="noConversion"/>
  </si>
  <si>
    <r>
      <t xml:space="preserve">                </t>
    </r>
    <r>
      <rPr>
        <sz val="9"/>
        <color theme="1"/>
        <rFont val="宋体"/>
        <family val="3"/>
        <charset val="134"/>
      </rPr>
      <t>翻台率（次）</t>
    </r>
    <phoneticPr fontId="37" type="noConversion"/>
  </si>
  <si>
    <t>酒店、餐馆与休闲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</si>
</sst>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 &quot;¥&quot;* #,##0.00_ ;_ &quot;¥&quot;* \-#,##0.00_ ;_ &quot;¥&quot;* &quot;-&quot;??_ ;_ @_ "/>
    <numFmt numFmtId="176" formatCode="_(* #,##0.00_);_(* \(#,##0.00\);_(* &quot;-&quot;??_);_(@_)"/>
    <numFmt numFmtId="177" formatCode="#,##0.0_);\(#,##0.0\)"/>
    <numFmt numFmtId="178" formatCode="[Blue]#,##0.00;[Red]\-#,##0.00"/>
    <numFmt numFmtId="179" formatCode="_-* #,##0_-;\-* #,##0_-;_-* &quot;-&quot;_-;_-@_-"/>
    <numFmt numFmtId="180" formatCode="yyyy\ &quot;年&quot;"/>
    <numFmt numFmtId="181" formatCode="[Blue]#,##0;[Red]\-#,##0"/>
    <numFmt numFmtId="182" formatCode="_ * #,##0_ ;_ * \-#,##0_ ;_ * &quot;-&quot;??_ ;_ @_ "/>
    <numFmt numFmtId="183" formatCode="yyyy\-mm\-dd"/>
    <numFmt numFmtId="184" formatCode="_-* #,##0.00_-;\-* #,##0.00_-;_-* &quot;-&quot;_-;_-@_-"/>
    <numFmt numFmtId="185" formatCode="###,###,##0.0000"/>
    <numFmt numFmtId="186" formatCode="#,##0_);[Red]\(#,##0\)"/>
    <numFmt numFmtId="187" formatCode="###,##0_ "/>
    <numFmt numFmtId="188" formatCode="0.0%"/>
    <numFmt numFmtId="189" formatCode="0.00_ "/>
    <numFmt numFmtId="190" formatCode="###,##0.000_ "/>
    <numFmt numFmtId="191" formatCode="0.000%"/>
    <numFmt numFmtId="192" formatCode="[Blue]#,##0.0;[Red]\-#,##0.0"/>
    <numFmt numFmtId="193" formatCode="0.0"/>
  </numFmts>
  <fonts count="47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b/>
      <sz val="11"/>
      <color indexed="9"/>
      <name val="宋体"/>
      <family val="3"/>
      <charset val="134"/>
    </font>
    <font>
      <b/>
      <sz val="11"/>
      <name val="Arial"/>
      <family val="2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u/>
      <sz val="11"/>
      <color theme="0"/>
      <name val="微软雅黑"/>
      <family val="2"/>
      <charset val="134"/>
    </font>
    <font>
      <sz val="10"/>
      <name val="Arial"/>
      <family val="2"/>
    </font>
    <font>
      <b/>
      <sz val="16"/>
      <color indexed="9"/>
      <name val="宋体"/>
      <family val="3"/>
      <charset val="134"/>
    </font>
    <font>
      <b/>
      <sz val="10"/>
      <name val="Arial"/>
      <family val="2"/>
    </font>
    <font>
      <b/>
      <sz val="12"/>
      <color indexed="9"/>
      <name val="宋体"/>
      <family val="3"/>
      <charset val="134"/>
    </font>
    <font>
      <sz val="10"/>
      <name val="微软雅黑"/>
      <family val="2"/>
      <charset val="134"/>
    </font>
    <font>
      <u/>
      <sz val="12"/>
      <color theme="0"/>
      <name val="微软雅黑"/>
      <family val="2"/>
      <charset val="134"/>
    </font>
    <font>
      <u/>
      <sz val="12"/>
      <color theme="0"/>
      <name val="宋体"/>
      <family val="3"/>
      <charset val="134"/>
    </font>
    <font>
      <b/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name val="微软雅黑"/>
      <family val="2"/>
      <charset val="134"/>
    </font>
    <font>
      <b/>
      <sz val="10"/>
      <name val="微软雅黑"/>
      <family val="2"/>
      <charset val="134"/>
    </font>
    <font>
      <b/>
      <sz val="12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8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vertAlign val="subscript"/>
      <sz val="10"/>
      <name val="Arial"/>
      <family val="2"/>
    </font>
    <font>
      <vertAlign val="superscript"/>
      <sz val="1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  <font>
      <b/>
      <sz val="11"/>
      <color indexed="81"/>
      <name val="宋体"/>
      <family val="3"/>
      <charset val="134"/>
    </font>
    <font>
      <sz val="16"/>
      <color theme="1"/>
      <name val="楷体"/>
      <family val="3"/>
      <charset val="134"/>
    </font>
    <font>
      <sz val="14"/>
      <color theme="1"/>
      <name val="楷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9"/>
      <color theme="1"/>
      <name val="Arial"/>
      <family val="3"/>
      <charset val="134"/>
    </font>
    <font>
      <sz val="9"/>
      <name val="Arial"/>
      <family val="2"/>
    </font>
    <font>
      <b/>
      <sz val="12"/>
      <color indexed="8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rgb="FF004E9D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CF4F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rgb="FF004E9D"/>
      </left>
      <right style="thin">
        <color rgb="FF004E9D"/>
      </right>
      <top style="thin">
        <color rgb="FF004E9D"/>
      </top>
      <bottom style="thin">
        <color rgb="FF004E9D"/>
      </bottom>
      <diagonal/>
    </border>
    <border>
      <left style="thin">
        <color rgb="FF004E9D"/>
      </left>
      <right style="thin">
        <color rgb="FF004E9D"/>
      </right>
      <top style="thin">
        <color rgb="FF004E9D"/>
      </top>
      <bottom/>
      <diagonal/>
    </border>
    <border>
      <left style="thin">
        <color rgb="FF004E9D"/>
      </left>
      <right/>
      <top style="thin">
        <color rgb="FF004E9D"/>
      </top>
      <bottom style="thin">
        <color rgb="FF004E9D"/>
      </bottom>
      <diagonal/>
    </border>
    <border>
      <left/>
      <right/>
      <top style="thin">
        <color rgb="FF004E9D"/>
      </top>
      <bottom style="thin">
        <color rgb="FF004E9D"/>
      </bottom>
      <diagonal/>
    </border>
    <border>
      <left style="thin">
        <color rgb="FF004E9D"/>
      </left>
      <right style="thin">
        <color rgb="FF004E9D"/>
      </right>
      <top/>
      <bottom style="thin">
        <color rgb="FF004E9D"/>
      </bottom>
      <diagonal/>
    </border>
    <border>
      <left/>
      <right style="thin">
        <color rgb="FF004E9D"/>
      </right>
      <top style="thin">
        <color rgb="FF004E9D"/>
      </top>
      <bottom style="thin">
        <color rgb="FF004E9D"/>
      </bottom>
      <diagonal/>
    </border>
    <border>
      <left style="thin">
        <color rgb="FF004E9D"/>
      </left>
      <right/>
      <top style="thin">
        <color rgb="FF004E9D"/>
      </top>
      <bottom/>
      <diagonal/>
    </border>
    <border>
      <left/>
      <right/>
      <top style="thin">
        <color rgb="FF004E9D"/>
      </top>
      <bottom/>
      <diagonal/>
    </border>
    <border>
      <left style="thin">
        <color rgb="FF004E9D"/>
      </left>
      <right/>
      <top/>
      <bottom/>
      <diagonal/>
    </border>
    <border>
      <left style="thin">
        <color rgb="FF004E9D"/>
      </left>
      <right/>
      <top/>
      <bottom style="thin">
        <color rgb="FF004E9D"/>
      </bottom>
      <diagonal/>
    </border>
    <border>
      <left/>
      <right/>
      <top/>
      <bottom style="thin">
        <color rgb="FF004E9D"/>
      </bottom>
      <diagonal/>
    </border>
    <border>
      <left/>
      <right style="thin">
        <color rgb="FF004E9D"/>
      </right>
      <top style="thin">
        <color rgb="FF004E9D"/>
      </top>
      <bottom/>
      <diagonal/>
    </border>
    <border>
      <left/>
      <right style="thin">
        <color rgb="FF004E9D"/>
      </right>
      <top/>
      <bottom/>
      <diagonal/>
    </border>
    <border>
      <left/>
      <right style="thin">
        <color rgb="FF004E9D"/>
      </right>
      <top/>
      <bottom style="thin">
        <color rgb="FF004E9D"/>
      </bottom>
      <diagonal/>
    </border>
    <border>
      <left style="thin">
        <color rgb="FF004E9D"/>
      </left>
      <right style="thin">
        <color rgb="FF004E9D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</borders>
  <cellStyleXfs count="24">
    <xf numFmtId="0" fontId="0" fillId="0" borderId="0"/>
    <xf numFmtId="179" fontId="30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0" fontId="23" fillId="0" borderId="0">
      <alignment horizontal="right"/>
    </xf>
    <xf numFmtId="0" fontId="31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/>
    <xf numFmtId="2" fontId="33" fillId="0" borderId="0"/>
    <xf numFmtId="0" fontId="8" fillId="0" borderId="0">
      <alignment vertical="top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/>
    <xf numFmtId="0" fontId="8" fillId="0" borderId="0"/>
    <xf numFmtId="0" fontId="23" fillId="0" borderId="0"/>
    <xf numFmtId="0" fontId="23" fillId="0" borderId="0">
      <alignment vertical="center"/>
    </xf>
    <xf numFmtId="176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</cellStyleXfs>
  <cellXfs count="474">
    <xf numFmtId="0" fontId="0" fillId="0" borderId="0" xfId="0"/>
    <xf numFmtId="0" fontId="1" fillId="0" borderId="0" xfId="18" applyFont="1" applyFill="1"/>
    <xf numFmtId="0" fontId="2" fillId="0" borderId="0" xfId="18" applyFont="1" applyFill="1" applyBorder="1" applyAlignment="1">
      <alignment horizontal="left" vertical="center" indent="1"/>
    </xf>
    <xf numFmtId="177" fontId="1" fillId="0" borderId="0" xfId="18" applyNumberFormat="1" applyFont="1" applyFill="1"/>
    <xf numFmtId="180" fontId="1" fillId="0" borderId="0" xfId="18" applyNumberFormat="1" applyFont="1" applyFill="1" applyBorder="1" applyAlignment="1">
      <alignment horizontal="center"/>
    </xf>
    <xf numFmtId="10" fontId="4" fillId="0" borderId="1" xfId="5" applyNumberFormat="1" applyFont="1" applyBorder="1" applyAlignment="1">
      <alignment horizontal="right" vertical="center"/>
    </xf>
    <xf numFmtId="0" fontId="8" fillId="0" borderId="0" xfId="18" applyFont="1" applyFill="1"/>
    <xf numFmtId="0" fontId="11" fillId="0" borderId="0" xfId="18" applyFont="1" applyFill="1" applyBorder="1" applyAlignment="1">
      <alignment horizontal="left" vertical="center" indent="1"/>
    </xf>
    <xf numFmtId="177" fontId="8" fillId="0" borderId="0" xfId="18" applyNumberFormat="1" applyFont="1" applyFill="1"/>
    <xf numFmtId="180" fontId="8" fillId="0" borderId="0" xfId="18" applyNumberFormat="1" applyFont="1" applyFill="1" applyBorder="1" applyAlignment="1">
      <alignment horizontal="center"/>
    </xf>
    <xf numFmtId="176" fontId="4" fillId="0" borderId="1" xfId="2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center" vertical="center"/>
    </xf>
    <xf numFmtId="0" fontId="14" fillId="0" borderId="0" xfId="4" applyFont="1" applyFill="1" applyBorder="1" applyAlignment="1" applyProtection="1">
      <alignment horizontal="left" vertical="center"/>
    </xf>
    <xf numFmtId="0" fontId="0" fillId="0" borderId="0" xfId="0" applyFill="1"/>
    <xf numFmtId="0" fontId="8" fillId="0" borderId="0" xfId="18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18" applyFont="1" applyFill="1" applyBorder="1" applyAlignment="1">
      <alignment horizontal="left" vertical="center"/>
    </xf>
    <xf numFmtId="177" fontId="8" fillId="0" borderId="0" xfId="18" applyNumberFormat="1" applyFont="1" applyFill="1" applyAlignment="1">
      <alignment vertical="center"/>
    </xf>
    <xf numFmtId="180" fontId="8" fillId="0" borderId="0" xfId="1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82" fontId="6" fillId="0" borderId="1" xfId="2" applyNumberFormat="1" applyFont="1" applyFill="1" applyBorder="1" applyAlignment="1">
      <alignment vertical="center"/>
    </xf>
    <xf numFmtId="10" fontId="6" fillId="0" borderId="1" xfId="5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0" fontId="6" fillId="0" borderId="0" xfId="5" applyNumberFormat="1" applyFont="1" applyFill="1" applyBorder="1" applyAlignment="1">
      <alignment vertical="center"/>
    </xf>
    <xf numFmtId="182" fontId="6" fillId="0" borderId="1" xfId="21" applyNumberFormat="1" applyFont="1" applyFill="1" applyBorder="1" applyAlignment="1">
      <alignment vertical="center"/>
    </xf>
    <xf numFmtId="10" fontId="4" fillId="0" borderId="1" xfId="3" applyNumberFormat="1" applyFont="1" applyBorder="1" applyAlignment="1">
      <alignment horizontal="right" vertical="center"/>
    </xf>
    <xf numFmtId="10" fontId="6" fillId="0" borderId="1" xfId="0" applyNumberFormat="1" applyFont="1" applyFill="1" applyBorder="1" applyAlignment="1">
      <alignment vertical="center"/>
    </xf>
    <xf numFmtId="10" fontId="6" fillId="5" borderId="1" xfId="0" applyNumberFormat="1" applyFont="1" applyFill="1" applyBorder="1" applyAlignment="1">
      <alignment vertical="center"/>
    </xf>
    <xf numFmtId="14" fontId="6" fillId="5" borderId="1" xfId="0" applyNumberFormat="1" applyFont="1" applyFill="1" applyBorder="1" applyAlignment="1">
      <alignment vertical="center"/>
    </xf>
    <xf numFmtId="14" fontId="4" fillId="6" borderId="1" xfId="0" applyNumberFormat="1" applyFont="1" applyFill="1" applyBorder="1" applyAlignment="1">
      <alignment vertical="center"/>
    </xf>
    <xf numFmtId="10" fontId="6" fillId="5" borderId="1" xfId="5" applyNumberFormat="1" applyFont="1" applyFill="1" applyBorder="1" applyAlignment="1">
      <alignment vertical="center"/>
    </xf>
    <xf numFmtId="10" fontId="6" fillId="5" borderId="1" xfId="3" applyNumberFormat="1" applyFont="1" applyFill="1" applyBorder="1" applyAlignment="1">
      <alignment horizontal="right" vertical="center"/>
    </xf>
    <xf numFmtId="10" fontId="6" fillId="0" borderId="1" xfId="3" applyNumberFormat="1" applyFont="1" applyFill="1" applyBorder="1" applyAlignment="1">
      <alignment horizontal="right" vertical="center"/>
    </xf>
    <xf numFmtId="0" fontId="4" fillId="0" borderId="1" xfId="17" applyFont="1" applyBorder="1" applyAlignment="1">
      <alignment horizontal="left" vertical="center"/>
    </xf>
    <xf numFmtId="185" fontId="6" fillId="5" borderId="1" xfId="2" applyNumberFormat="1" applyFont="1" applyFill="1" applyBorder="1" applyAlignment="1">
      <alignment vertical="center"/>
    </xf>
    <xf numFmtId="185" fontId="6" fillId="0" borderId="1" xfId="0" applyNumberFormat="1" applyFont="1" applyFill="1" applyBorder="1" applyAlignment="1">
      <alignment vertical="center"/>
    </xf>
    <xf numFmtId="185" fontId="6" fillId="0" borderId="0" xfId="0" applyNumberFormat="1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176" fontId="6" fillId="0" borderId="1" xfId="21" applyFont="1" applyFill="1" applyBorder="1" applyAlignment="1">
      <alignment vertical="center"/>
    </xf>
    <xf numFmtId="182" fontId="6" fillId="0" borderId="0" xfId="2" applyNumberFormat="1" applyFont="1" applyFill="1" applyBorder="1" applyAlignment="1">
      <alignment vertical="center"/>
    </xf>
    <xf numFmtId="176" fontId="6" fillId="0" borderId="1" xfId="21" applyNumberFormat="1" applyFont="1" applyFill="1" applyBorder="1" applyAlignment="1">
      <alignment vertical="center"/>
    </xf>
    <xf numFmtId="182" fontId="6" fillId="0" borderId="0" xfId="2" applyNumberFormat="1" applyFont="1" applyFill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15" fillId="0" borderId="1" xfId="2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88" fontId="6" fillId="5" borderId="1" xfId="5" applyNumberFormat="1" applyFont="1" applyFill="1" applyBorder="1" applyAlignment="1">
      <alignment vertical="center"/>
    </xf>
    <xf numFmtId="10" fontId="6" fillId="5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18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18" applyFont="1" applyFill="1" applyBorder="1" applyAlignment="1">
      <alignment horizontal="left" vertical="center"/>
    </xf>
    <xf numFmtId="177" fontId="1" fillId="0" borderId="0" xfId="18" applyNumberFormat="1" applyFont="1" applyFill="1" applyAlignment="1">
      <alignment vertical="center"/>
    </xf>
    <xf numFmtId="0" fontId="4" fillId="3" borderId="1" xfId="0" applyNumberFormat="1" applyFont="1" applyFill="1" applyBorder="1" applyAlignment="1">
      <alignment horizontal="right" vertical="center"/>
    </xf>
    <xf numFmtId="184" fontId="15" fillId="7" borderId="1" xfId="1" applyNumberFormat="1" applyFont="1" applyFill="1" applyBorder="1" applyAlignment="1">
      <alignment vertical="center"/>
    </xf>
    <xf numFmtId="184" fontId="6" fillId="7" borderId="1" xfId="1" applyNumberFormat="1" applyFont="1" applyFill="1" applyBorder="1" applyAlignment="1">
      <alignment vertical="center"/>
    </xf>
    <xf numFmtId="182" fontId="4" fillId="0" borderId="1" xfId="2" applyNumberFormat="1" applyFont="1" applyFill="1" applyBorder="1" applyAlignment="1">
      <alignment vertical="center"/>
    </xf>
    <xf numFmtId="184" fontId="6" fillId="7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84" fontId="6" fillId="0" borderId="1" xfId="1" applyNumberFormat="1" applyFont="1" applyFill="1" applyBorder="1" applyAlignment="1">
      <alignment horizontal="left" vertical="center"/>
    </xf>
    <xf numFmtId="180" fontId="1" fillId="0" borderId="0" xfId="18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82" fontId="4" fillId="0" borderId="2" xfId="2" applyNumberFormat="1" applyFont="1" applyFill="1" applyBorder="1" applyAlignment="1">
      <alignment vertical="center"/>
    </xf>
    <xf numFmtId="182" fontId="0" fillId="2" borderId="0" xfId="2" applyNumberFormat="1" applyFont="1" applyFill="1" applyAlignment="1">
      <alignment vertical="center"/>
    </xf>
    <xf numFmtId="184" fontId="6" fillId="0" borderId="1" xfId="1" applyNumberFormat="1" applyFont="1" applyFill="1" applyBorder="1" applyAlignment="1">
      <alignment vertical="center"/>
    </xf>
    <xf numFmtId="184" fontId="15" fillId="0" borderId="1" xfId="1" applyNumberFormat="1" applyFont="1" applyFill="1" applyBorder="1" applyAlignment="1">
      <alignment horizontal="left" vertical="center"/>
    </xf>
    <xf numFmtId="0" fontId="12" fillId="0" borderId="0" xfId="18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1" fillId="0" borderId="0" xfId="18" applyFont="1" applyFill="1" applyBorder="1" applyAlignment="1">
      <alignment horizontal="left" vertical="center"/>
    </xf>
    <xf numFmtId="176" fontId="12" fillId="0" borderId="0" xfId="2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182" fontId="5" fillId="0" borderId="1" xfId="2" applyNumberFormat="1" applyFont="1" applyFill="1" applyBorder="1" applyAlignment="1">
      <alignment vertical="center"/>
    </xf>
    <xf numFmtId="9" fontId="5" fillId="0" borderId="1" xfId="5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82" fontId="4" fillId="0" borderId="1" xfId="2" applyNumberFormat="1" applyFont="1" applyBorder="1" applyAlignment="1">
      <alignment vertical="center"/>
    </xf>
    <xf numFmtId="10" fontId="4" fillId="0" borderId="1" xfId="5" applyNumberFormat="1" applyFont="1" applyFill="1" applyBorder="1" applyAlignment="1">
      <alignment vertical="center"/>
    </xf>
    <xf numFmtId="182" fontId="4" fillId="2" borderId="0" xfId="2" applyNumberFormat="1" applyFont="1" applyFill="1" applyAlignment="1">
      <alignment vertical="center"/>
    </xf>
    <xf numFmtId="182" fontId="4" fillId="0" borderId="0" xfId="2" applyNumberFormat="1" applyFont="1" applyAlignment="1">
      <alignment vertical="center"/>
    </xf>
    <xf numFmtId="180" fontId="12" fillId="0" borderId="0" xfId="18" applyNumberFormat="1" applyFont="1" applyFill="1" applyBorder="1" applyAlignment="1">
      <alignment horizontal="center" vertical="center"/>
    </xf>
    <xf numFmtId="182" fontId="5" fillId="2" borderId="0" xfId="2" applyNumberFormat="1" applyFont="1" applyFill="1" applyAlignment="1">
      <alignment vertical="center"/>
    </xf>
    <xf numFmtId="182" fontId="4" fillId="5" borderId="1" xfId="2" applyNumberFormat="1" applyFont="1" applyFill="1" applyBorder="1" applyAlignment="1">
      <alignment vertical="center"/>
    </xf>
    <xf numFmtId="182" fontId="4" fillId="0" borderId="0" xfId="0" applyNumberFormat="1" applyFont="1" applyAlignment="1">
      <alignment vertical="center"/>
    </xf>
    <xf numFmtId="9" fontId="4" fillId="0" borderId="0" xfId="5" applyFont="1" applyAlignment="1">
      <alignment vertical="center"/>
    </xf>
    <xf numFmtId="0" fontId="6" fillId="0" borderId="0" xfId="18" applyFont="1" applyFill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18" applyFont="1" applyFill="1" applyBorder="1" applyAlignment="1">
      <alignment horizontal="left" vertical="center"/>
    </xf>
    <xf numFmtId="177" fontId="6" fillId="0" borderId="0" xfId="18" applyNumberFormat="1" applyFont="1" applyFill="1" applyAlignment="1">
      <alignment vertical="center"/>
    </xf>
    <xf numFmtId="0" fontId="15" fillId="0" borderId="1" xfId="0" applyFont="1" applyBorder="1" applyAlignment="1">
      <alignment vertical="center"/>
    </xf>
    <xf numFmtId="187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10" fontId="4" fillId="0" borderId="1" xfId="5" applyNumberFormat="1" applyFont="1" applyBorder="1" applyAlignment="1">
      <alignment vertical="center"/>
    </xf>
    <xf numFmtId="10" fontId="6" fillId="0" borderId="1" xfId="5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0" fontId="6" fillId="0" borderId="0" xfId="18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2" fillId="0" borderId="0" xfId="18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86" fontId="4" fillId="0" borderId="1" xfId="0" applyNumberFormat="1" applyFont="1" applyBorder="1" applyAlignment="1">
      <alignment vertical="center"/>
    </xf>
    <xf numFmtId="182" fontId="6" fillId="0" borderId="1" xfId="21" applyNumberFormat="1" applyFont="1" applyBorder="1" applyAlignment="1">
      <alignment vertical="center"/>
    </xf>
    <xf numFmtId="182" fontId="4" fillId="5" borderId="1" xfId="2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182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182" fontId="6" fillId="0" borderId="1" xfId="2" applyNumberFormat="1" applyFont="1" applyBorder="1" applyAlignment="1">
      <alignment vertical="center"/>
    </xf>
    <xf numFmtId="182" fontId="16" fillId="0" borderId="1" xfId="2" applyNumberFormat="1" applyFont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10" fontId="4" fillId="5" borderId="1" xfId="5" applyNumberFormat="1" applyFont="1" applyFill="1" applyBorder="1" applyAlignment="1">
      <alignment vertical="center"/>
    </xf>
    <xf numFmtId="182" fontId="4" fillId="0" borderId="1" xfId="21" applyNumberFormat="1" applyFont="1" applyBorder="1" applyAlignment="1">
      <alignment vertical="center"/>
    </xf>
    <xf numFmtId="10" fontId="6" fillId="0" borderId="1" xfId="7" applyNumberFormat="1" applyFont="1" applyBorder="1" applyAlignment="1">
      <alignment vertical="center"/>
    </xf>
    <xf numFmtId="182" fontId="6" fillId="5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86" fontId="16" fillId="0" borderId="1" xfId="0" applyNumberFormat="1" applyFont="1" applyBorder="1" applyAlignment="1">
      <alignment vertical="center"/>
    </xf>
    <xf numFmtId="182" fontId="4" fillId="0" borderId="0" xfId="2" applyNumberFormat="1" applyFont="1" applyFill="1" applyAlignment="1">
      <alignment vertical="center"/>
    </xf>
    <xf numFmtId="182" fontId="0" fillId="0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4" fillId="5" borderId="1" xfId="5" applyNumberFormat="1" applyFont="1" applyFill="1" applyBorder="1" applyAlignment="1">
      <alignment horizontal="center" vertical="center"/>
    </xf>
    <xf numFmtId="0" fontId="23" fillId="0" borderId="0" xfId="15">
      <alignment vertical="center"/>
    </xf>
    <xf numFmtId="178" fontId="25" fillId="9" borderId="16" xfId="15" applyNumberFormat="1" applyFont="1" applyFill="1" applyBorder="1" applyAlignment="1">
      <alignment horizontal="right" vertical="center"/>
    </xf>
    <xf numFmtId="178" fontId="25" fillId="0" borderId="0" xfId="15" applyNumberFormat="1" applyFont="1" applyAlignment="1">
      <alignment horizontal="right" vertical="center"/>
    </xf>
    <xf numFmtId="178" fontId="25" fillId="9" borderId="16" xfId="0" applyNumberFormat="1" applyFont="1" applyFill="1" applyBorder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88" fontId="25" fillId="0" borderId="0" xfId="11" applyNumberFormat="1" applyFont="1" applyAlignment="1">
      <alignment horizontal="right" vertical="center"/>
    </xf>
    <xf numFmtId="49" fontId="26" fillId="8" borderId="0" xfId="15" applyNumberFormat="1" applyFont="1" applyFill="1" applyBorder="1" applyAlignment="1">
      <alignment horizontal="left" vertical="center"/>
    </xf>
    <xf numFmtId="181" fontId="25" fillId="9" borderId="16" xfId="15" applyNumberFormat="1" applyFont="1" applyFill="1" applyBorder="1" applyAlignment="1">
      <alignment horizontal="right" vertical="center"/>
    </xf>
    <xf numFmtId="181" fontId="25" fillId="9" borderId="0" xfId="15" applyNumberFormat="1" applyFont="1" applyFill="1" applyBorder="1" applyAlignment="1">
      <alignment horizontal="right" vertical="center"/>
    </xf>
    <xf numFmtId="181" fontId="25" fillId="0" borderId="0" xfId="15" applyNumberFormat="1" applyFont="1" applyAlignment="1">
      <alignment horizontal="right" vertical="center"/>
    </xf>
    <xf numFmtId="10" fontId="25" fillId="5" borderId="0" xfId="23" applyNumberFormat="1" applyFont="1" applyFill="1" applyAlignment="1">
      <alignment horizontal="right" vertical="center"/>
    </xf>
    <xf numFmtId="10" fontId="25" fillId="9" borderId="16" xfId="5" applyNumberFormat="1" applyFont="1" applyFill="1" applyBorder="1" applyAlignment="1">
      <alignment horizontal="right" vertical="center"/>
    </xf>
    <xf numFmtId="10" fontId="25" fillId="0" borderId="0" xfId="5" applyNumberFormat="1" applyFont="1" applyAlignment="1">
      <alignment horizontal="right" vertical="center"/>
    </xf>
    <xf numFmtId="10" fontId="25" fillId="0" borderId="0" xfId="11" applyNumberFormat="1" applyFont="1" applyAlignment="1">
      <alignment horizontal="right" vertical="center"/>
    </xf>
    <xf numFmtId="10" fontId="25" fillId="5" borderId="0" xfId="5" applyNumberFormat="1" applyFont="1" applyFill="1" applyAlignment="1">
      <alignment horizontal="right" vertical="center"/>
    </xf>
    <xf numFmtId="0" fontId="8" fillId="0" borderId="0" xfId="18" applyFont="1" applyFill="1" applyBorder="1"/>
    <xf numFmtId="0" fontId="12" fillId="0" borderId="0" xfId="18" applyFont="1" applyFill="1" applyBorder="1" applyAlignment="1">
      <alignment vertical="center"/>
    </xf>
    <xf numFmtId="0" fontId="12" fillId="0" borderId="0" xfId="18" applyFont="1" applyFill="1" applyBorder="1"/>
    <xf numFmtId="0" fontId="6" fillId="5" borderId="1" xfId="18" applyFont="1" applyFill="1" applyBorder="1"/>
    <xf numFmtId="0" fontId="4" fillId="0" borderId="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" xfId="18" applyFont="1" applyFill="1" applyBorder="1"/>
    <xf numFmtId="0" fontId="6" fillId="7" borderId="3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/>
    </xf>
    <xf numFmtId="0" fontId="0" fillId="0" borderId="0" xfId="0" applyBorder="1"/>
    <xf numFmtId="0" fontId="4" fillId="0" borderId="6" xfId="0" applyFont="1" applyBorder="1" applyAlignment="1">
      <alignment vertical="center"/>
    </xf>
    <xf numFmtId="184" fontId="6" fillId="0" borderId="1" xfId="1" quotePrefix="1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center" vertical="center"/>
    </xf>
    <xf numFmtId="44" fontId="6" fillId="0" borderId="0" xfId="0" applyNumberFormat="1" applyFont="1" applyFill="1" applyAlignment="1">
      <alignment vertical="center"/>
    </xf>
    <xf numFmtId="10" fontId="4" fillId="0" borderId="1" xfId="5" applyNumberFormat="1" applyFont="1" applyBorder="1" applyAlignment="1">
      <alignment horizontal="center" vertical="center"/>
    </xf>
    <xf numFmtId="0" fontId="4" fillId="10" borderId="0" xfId="0" applyFont="1" applyFill="1" applyAlignment="1">
      <alignment vertical="center"/>
    </xf>
    <xf numFmtId="9" fontId="0" fillId="0" borderId="0" xfId="5" applyFont="1" applyAlignment="1"/>
    <xf numFmtId="0" fontId="6" fillId="5" borderId="1" xfId="0" applyFont="1" applyFill="1" applyBorder="1" applyAlignment="1">
      <alignment horizontal="left" vertical="center"/>
    </xf>
    <xf numFmtId="0" fontId="8" fillId="10" borderId="0" xfId="18" applyFont="1" applyFill="1" applyAlignment="1">
      <alignment vertical="center"/>
    </xf>
    <xf numFmtId="0" fontId="8" fillId="10" borderId="0" xfId="18" applyFont="1" applyFill="1" applyBorder="1"/>
    <xf numFmtId="0" fontId="10" fillId="10" borderId="0" xfId="18" applyFont="1" applyFill="1" applyAlignment="1">
      <alignment vertical="center"/>
    </xf>
    <xf numFmtId="0" fontId="8" fillId="10" borderId="0" xfId="18" applyFont="1" applyFill="1"/>
    <xf numFmtId="0" fontId="12" fillId="10" borderId="0" xfId="18" applyFont="1" applyFill="1" applyBorder="1" applyAlignment="1">
      <alignment vertical="center"/>
    </xf>
    <xf numFmtId="0" fontId="12" fillId="10" borderId="0" xfId="18" applyFont="1" applyFill="1" applyBorder="1"/>
    <xf numFmtId="0" fontId="28" fillId="10" borderId="0" xfId="18" applyFont="1" applyFill="1" applyBorder="1"/>
    <xf numFmtId="0" fontId="13" fillId="10" borderId="0" xfId="4" applyFont="1" applyFill="1" applyBorder="1" applyAlignment="1" applyProtection="1">
      <alignment horizontal="right" vertical="center"/>
    </xf>
    <xf numFmtId="0" fontId="0" fillId="10" borderId="0" xfId="0" applyFill="1"/>
    <xf numFmtId="0" fontId="0" fillId="10" borderId="0" xfId="0" applyFont="1" applyFill="1" applyBorder="1"/>
    <xf numFmtId="0" fontId="0" fillId="10" borderId="0" xfId="0" applyFill="1" applyBorder="1"/>
    <xf numFmtId="0" fontId="23" fillId="14" borderId="16" xfId="15" applyFill="1" applyBorder="1">
      <alignment vertical="center"/>
    </xf>
    <xf numFmtId="0" fontId="23" fillId="14" borderId="0" xfId="15" applyFill="1" applyBorder="1">
      <alignment vertical="center"/>
    </xf>
    <xf numFmtId="0" fontId="0" fillId="14" borderId="16" xfId="0" applyFill="1" applyBorder="1" applyAlignment="1">
      <alignment vertical="center"/>
    </xf>
    <xf numFmtId="0" fontId="0" fillId="14" borderId="0" xfId="0" applyFill="1" applyBorder="1" applyAlignment="1">
      <alignment vertical="center"/>
    </xf>
    <xf numFmtId="0" fontId="0" fillId="10" borderId="0" xfId="0" applyFont="1" applyFill="1"/>
    <xf numFmtId="0" fontId="1" fillId="10" borderId="0" xfId="18" applyFont="1" applyFill="1"/>
    <xf numFmtId="0" fontId="2" fillId="10" borderId="0" xfId="18" applyFont="1" applyFill="1" applyAlignment="1">
      <alignment vertical="center"/>
    </xf>
    <xf numFmtId="0" fontId="3" fillId="10" borderId="0" xfId="18" applyFont="1" applyFill="1" applyAlignment="1">
      <alignment vertical="center"/>
    </xf>
    <xf numFmtId="0" fontId="2" fillId="10" borderId="0" xfId="18" applyFont="1" applyFill="1" applyBorder="1" applyAlignment="1">
      <alignment horizontal="left" vertical="center" indent="1"/>
    </xf>
    <xf numFmtId="177" fontId="1" fillId="10" borderId="0" xfId="18" applyNumberFormat="1" applyFont="1" applyFill="1"/>
    <xf numFmtId="180" fontId="1" fillId="10" borderId="0" xfId="18" applyNumberFormat="1" applyFont="1" applyFill="1" applyBorder="1" applyAlignment="1">
      <alignment horizontal="center"/>
    </xf>
    <xf numFmtId="0" fontId="0" fillId="10" borderId="0" xfId="0" applyFont="1" applyFill="1" applyAlignment="1">
      <alignment horizontal="center" vertical="center"/>
    </xf>
    <xf numFmtId="0" fontId="6" fillId="10" borderId="0" xfId="18" applyFont="1" applyFill="1" applyAlignment="1">
      <alignment vertical="center"/>
    </xf>
    <xf numFmtId="0" fontId="22" fillId="10" borderId="0" xfId="18" applyFont="1" applyFill="1" applyAlignment="1">
      <alignment vertical="center"/>
    </xf>
    <xf numFmtId="0" fontId="15" fillId="10" borderId="0" xfId="18" applyFont="1" applyFill="1" applyAlignment="1">
      <alignment vertical="center"/>
    </xf>
    <xf numFmtId="0" fontId="22" fillId="10" borderId="0" xfId="18" applyFont="1" applyFill="1" applyBorder="1" applyAlignment="1">
      <alignment horizontal="left" vertical="center"/>
    </xf>
    <xf numFmtId="177" fontId="6" fillId="10" borderId="0" xfId="18" applyNumberFormat="1" applyFont="1" applyFill="1" applyAlignment="1">
      <alignment vertical="center"/>
    </xf>
    <xf numFmtId="180" fontId="6" fillId="10" borderId="0" xfId="18" applyNumberFormat="1" applyFont="1" applyFill="1" applyBorder="1" applyAlignment="1">
      <alignment horizontal="center" vertical="center"/>
    </xf>
    <xf numFmtId="3" fontId="4" fillId="10" borderId="0" xfId="0" applyNumberFormat="1" applyFont="1" applyFill="1" applyAlignment="1">
      <alignment vertical="center"/>
    </xf>
    <xf numFmtId="182" fontId="4" fillId="10" borderId="0" xfId="2" applyNumberFormat="1" applyFont="1" applyFill="1" applyAlignment="1">
      <alignment vertical="center"/>
    </xf>
    <xf numFmtId="0" fontId="1" fillId="10" borderId="0" xfId="18" applyFont="1" applyFill="1" applyAlignment="1">
      <alignment vertical="center"/>
    </xf>
    <xf numFmtId="0" fontId="2" fillId="10" borderId="0" xfId="18" applyFont="1" applyFill="1" applyBorder="1" applyAlignment="1">
      <alignment horizontal="left" vertical="center"/>
    </xf>
    <xf numFmtId="177" fontId="1" fillId="10" borderId="0" xfId="18" applyNumberFormat="1" applyFont="1" applyFill="1" applyAlignment="1">
      <alignment vertical="center"/>
    </xf>
    <xf numFmtId="180" fontId="1" fillId="10" borderId="0" xfId="18" applyNumberFormat="1" applyFont="1" applyFill="1" applyBorder="1" applyAlignment="1">
      <alignment horizontal="center" vertical="center"/>
    </xf>
    <xf numFmtId="0" fontId="0" fillId="10" borderId="0" xfId="0" applyFont="1" applyFill="1" applyAlignment="1">
      <alignment vertical="center"/>
    </xf>
    <xf numFmtId="4" fontId="4" fillId="10" borderId="0" xfId="0" applyNumberFormat="1" applyFont="1" applyFill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15" fillId="10" borderId="0" xfId="18" applyFont="1" applyFill="1" applyBorder="1" applyAlignment="1">
      <alignment horizontal="left" vertical="center"/>
    </xf>
    <xf numFmtId="0" fontId="7" fillId="10" borderId="0" xfId="4" applyFont="1" applyFill="1" applyBorder="1" applyAlignment="1" applyProtection="1">
      <alignment horizontal="right" vertical="center"/>
    </xf>
    <xf numFmtId="0" fontId="6" fillId="14" borderId="1" xfId="0" applyFont="1" applyFill="1" applyBorder="1" applyAlignment="1">
      <alignment vertical="center"/>
    </xf>
    <xf numFmtId="0" fontId="12" fillId="10" borderId="0" xfId="18" applyFont="1" applyFill="1" applyAlignment="1">
      <alignment vertical="center"/>
    </xf>
    <xf numFmtId="0" fontId="19" fillId="10" borderId="0" xfId="18" applyFont="1" applyFill="1" applyAlignment="1">
      <alignment vertical="center"/>
    </xf>
    <xf numFmtId="0" fontId="20" fillId="10" borderId="0" xfId="18" applyFont="1" applyFill="1" applyAlignment="1">
      <alignment vertical="center"/>
    </xf>
    <xf numFmtId="0" fontId="21" fillId="10" borderId="0" xfId="18" applyFont="1" applyFill="1" applyBorder="1" applyAlignment="1">
      <alignment horizontal="left" vertical="center"/>
    </xf>
    <xf numFmtId="177" fontId="12" fillId="10" borderId="0" xfId="18" applyNumberFormat="1" applyFont="1" applyFill="1" applyAlignment="1">
      <alignment vertical="center"/>
    </xf>
    <xf numFmtId="180" fontId="12" fillId="10" borderId="0" xfId="18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8" fillId="10" borderId="0" xfId="18" applyFont="1" applyFill="1" applyAlignment="1">
      <alignment vertical="center"/>
    </xf>
    <xf numFmtId="0" fontId="18" fillId="10" borderId="0" xfId="18" applyFont="1" applyFill="1" applyBorder="1" applyAlignment="1">
      <alignment horizontal="left" vertical="center"/>
    </xf>
    <xf numFmtId="0" fontId="0" fillId="10" borderId="0" xfId="0" applyFont="1" applyFill="1" applyAlignment="1">
      <alignment horizontal="right" vertical="center"/>
    </xf>
    <xf numFmtId="182" fontId="0" fillId="10" borderId="0" xfId="2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0" fontId="9" fillId="10" borderId="0" xfId="18" applyFont="1" applyFill="1" applyAlignment="1">
      <alignment vertical="center"/>
    </xf>
    <xf numFmtId="0" fontId="11" fillId="10" borderId="0" xfId="18" applyFont="1" applyFill="1" applyBorder="1" applyAlignment="1">
      <alignment horizontal="left" vertical="center"/>
    </xf>
    <xf numFmtId="177" fontId="8" fillId="10" borderId="0" xfId="18" applyNumberFormat="1" applyFont="1" applyFill="1" applyAlignment="1">
      <alignment vertical="center"/>
    </xf>
    <xf numFmtId="180" fontId="8" fillId="10" borderId="0" xfId="18" applyNumberFormat="1" applyFont="1" applyFill="1" applyBorder="1" applyAlignment="1">
      <alignment horizontal="center" vertical="center"/>
    </xf>
    <xf numFmtId="0" fontId="12" fillId="10" borderId="0" xfId="18" applyFont="1" applyFill="1" applyAlignment="1">
      <alignment horizontal="right"/>
    </xf>
    <xf numFmtId="0" fontId="11" fillId="10" borderId="0" xfId="18" applyFont="1" applyFill="1" applyBorder="1" applyAlignment="1">
      <alignment horizontal="left" vertical="center" indent="1"/>
    </xf>
    <xf numFmtId="177" fontId="8" fillId="10" borderId="0" xfId="18" applyNumberFormat="1" applyFont="1" applyFill="1"/>
    <xf numFmtId="180" fontId="8" fillId="10" borderId="0" xfId="18" applyNumberFormat="1" applyFont="1" applyFill="1" applyBorder="1" applyAlignment="1">
      <alignment horizontal="center"/>
    </xf>
    <xf numFmtId="0" fontId="13" fillId="10" borderId="0" xfId="4" applyFont="1" applyFill="1" applyBorder="1" applyAlignment="1" applyProtection="1">
      <alignment horizontal="left" vertical="center"/>
    </xf>
    <xf numFmtId="0" fontId="29" fillId="4" borderId="3" xfId="18" applyFont="1" applyFill="1" applyBorder="1" applyAlignment="1">
      <alignment horizontal="center" vertical="center"/>
    </xf>
    <xf numFmtId="0" fontId="29" fillId="4" borderId="10" xfId="18" applyFont="1" applyFill="1" applyBorder="1" applyAlignment="1">
      <alignment horizontal="center" vertical="center"/>
    </xf>
    <xf numFmtId="0" fontId="29" fillId="11" borderId="7" xfId="18" applyFont="1" applyFill="1" applyBorder="1" applyAlignment="1">
      <alignment horizontal="center" vertical="center"/>
    </xf>
    <xf numFmtId="0" fontId="29" fillId="11" borderId="3" xfId="18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24" fillId="14" borderId="16" xfId="15" applyFont="1" applyFill="1" applyBorder="1" applyAlignment="1">
      <alignment horizontal="center" vertical="center"/>
    </xf>
    <xf numFmtId="49" fontId="25" fillId="13" borderId="16" xfId="15" applyNumberFormat="1" applyFont="1" applyFill="1" applyBorder="1" applyAlignment="1">
      <alignment horizontal="left" vertical="center"/>
    </xf>
    <xf numFmtId="49" fontId="25" fillId="13" borderId="16" xfId="0" applyNumberFormat="1" applyFont="1" applyFill="1" applyBorder="1" applyAlignment="1">
      <alignment horizontal="left" vertical="center"/>
    </xf>
    <xf numFmtId="183" fontId="25" fillId="13" borderId="16" xfId="0" applyNumberFormat="1" applyFont="1" applyFill="1" applyBorder="1" applyAlignment="1">
      <alignment horizontal="right" vertical="center"/>
    </xf>
    <xf numFmtId="183" fontId="25" fillId="13" borderId="0" xfId="0" applyNumberFormat="1" applyFont="1" applyFill="1" applyBorder="1" applyAlignment="1">
      <alignment horizontal="right" vertical="center"/>
    </xf>
    <xf numFmtId="0" fontId="23" fillId="0" borderId="0" xfId="15" applyFill="1">
      <alignment vertical="center"/>
    </xf>
    <xf numFmtId="49" fontId="26" fillId="13" borderId="0" xfId="15" applyNumberFormat="1" applyFont="1" applyFill="1" applyBorder="1" applyAlignment="1">
      <alignment horizontal="left" vertical="center"/>
    </xf>
    <xf numFmtId="49" fontId="27" fillId="13" borderId="16" xfId="15" applyNumberFormat="1" applyFont="1" applyFill="1" applyBorder="1" applyAlignment="1">
      <alignment horizontal="left" vertical="center"/>
    </xf>
    <xf numFmtId="49" fontId="25" fillId="13" borderId="17" xfId="15" applyNumberFormat="1" applyFont="1" applyFill="1" applyBorder="1" applyAlignment="1">
      <alignment horizontal="left" vertical="center"/>
    </xf>
    <xf numFmtId="0" fontId="29" fillId="15" borderId="9" xfId="18" applyFont="1" applyFill="1" applyBorder="1" applyAlignment="1">
      <alignment horizontal="center" vertical="center"/>
    </xf>
    <xf numFmtId="0" fontId="29" fillId="15" borderId="3" xfId="18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76" fontId="4" fillId="16" borderId="1" xfId="2" applyNumberFormat="1" applyFont="1" applyFill="1" applyBorder="1" applyAlignment="1">
      <alignment horizontal="center" vertical="center"/>
    </xf>
    <xf numFmtId="176" fontId="4" fillId="17" borderId="1" xfId="2" applyNumberFormat="1" applyFont="1" applyFill="1" applyBorder="1" applyAlignment="1">
      <alignment horizontal="center" vertical="center"/>
    </xf>
    <xf numFmtId="176" fontId="6" fillId="16" borderId="1" xfId="2" applyNumberFormat="1" applyFont="1" applyFill="1" applyBorder="1" applyAlignment="1">
      <alignment vertical="center"/>
    </xf>
    <xf numFmtId="176" fontId="6" fillId="17" borderId="1" xfId="2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23" fillId="0" borderId="0" xfId="20">
      <alignment vertical="center"/>
    </xf>
    <xf numFmtId="0" fontId="23" fillId="0" borderId="0" xfId="20" applyAlignment="1">
      <alignment horizontal="center" vertical="center"/>
    </xf>
    <xf numFmtId="0" fontId="23" fillId="18" borderId="0" xfId="20" applyFill="1">
      <alignment vertical="center"/>
    </xf>
    <xf numFmtId="0" fontId="23" fillId="18" borderId="0" xfId="20" applyFill="1" applyAlignment="1">
      <alignment horizontal="center" vertical="center"/>
    </xf>
    <xf numFmtId="0" fontId="41" fillId="18" borderId="21" xfId="20" applyFont="1" applyFill="1" applyBorder="1" applyAlignment="1">
      <alignment horizontal="center" vertical="center"/>
    </xf>
    <xf numFmtId="0" fontId="41" fillId="18" borderId="22" xfId="20" applyFont="1" applyFill="1" applyBorder="1" applyAlignment="1">
      <alignment horizontal="center" vertical="center"/>
    </xf>
    <xf numFmtId="0" fontId="42" fillId="18" borderId="22" xfId="20" applyFont="1" applyFill="1" applyBorder="1">
      <alignment vertical="center"/>
    </xf>
    <xf numFmtId="0" fontId="41" fillId="18" borderId="22" xfId="20" applyFont="1" applyFill="1" applyBorder="1">
      <alignment vertical="center"/>
    </xf>
    <xf numFmtId="0" fontId="42" fillId="18" borderId="23" xfId="20" applyFont="1" applyFill="1" applyBorder="1">
      <alignment vertical="center"/>
    </xf>
    <xf numFmtId="0" fontId="41" fillId="18" borderId="24" xfId="20" applyFont="1" applyFill="1" applyBorder="1" applyAlignment="1">
      <alignment horizontal="center" vertical="center"/>
    </xf>
    <xf numFmtId="14" fontId="41" fillId="18" borderId="0" xfId="20" applyNumberFormat="1" applyFont="1" applyFill="1" applyAlignment="1">
      <alignment horizontal="center" vertical="center"/>
    </xf>
    <xf numFmtId="0" fontId="42" fillId="18" borderId="0" xfId="20" applyFont="1" applyFill="1">
      <alignment vertical="center"/>
    </xf>
    <xf numFmtId="0" fontId="41" fillId="18" borderId="0" xfId="20" applyFont="1" applyFill="1" applyAlignment="1">
      <alignment horizontal="center" vertical="center"/>
    </xf>
    <xf numFmtId="0" fontId="41" fillId="18" borderId="0" xfId="20" applyFont="1" applyFill="1">
      <alignment vertical="center"/>
    </xf>
    <xf numFmtId="0" fontId="42" fillId="18" borderId="25" xfId="20" applyFont="1" applyFill="1" applyBorder="1">
      <alignment vertical="center"/>
    </xf>
    <xf numFmtId="0" fontId="41" fillId="18" borderId="26" xfId="20" applyFont="1" applyFill="1" applyBorder="1" applyAlignment="1">
      <alignment horizontal="center" vertical="center"/>
    </xf>
    <xf numFmtId="0" fontId="41" fillId="18" borderId="27" xfId="20" applyFont="1" applyFill="1" applyBorder="1" applyAlignment="1">
      <alignment horizontal="center" vertical="center"/>
    </xf>
    <xf numFmtId="0" fontId="42" fillId="18" borderId="27" xfId="20" applyFont="1" applyFill="1" applyBorder="1">
      <alignment vertical="center"/>
    </xf>
    <xf numFmtId="0" fontId="41" fillId="18" borderId="27" xfId="20" applyFont="1" applyFill="1" applyBorder="1">
      <alignment vertical="center"/>
    </xf>
    <xf numFmtId="0" fontId="42" fillId="18" borderId="28" xfId="20" applyFont="1" applyFill="1" applyBorder="1">
      <alignment vertical="center"/>
    </xf>
    <xf numFmtId="0" fontId="42" fillId="18" borderId="0" xfId="20" applyFont="1" applyFill="1" applyAlignment="1">
      <alignment horizontal="center" vertical="center"/>
    </xf>
    <xf numFmtId="189" fontId="41" fillId="18" borderId="22" xfId="20" applyNumberFormat="1" applyFont="1" applyFill="1" applyBorder="1" applyAlignment="1">
      <alignment horizontal="center" vertical="center"/>
    </xf>
    <xf numFmtId="189" fontId="41" fillId="18" borderId="27" xfId="20" applyNumberFormat="1" applyFont="1" applyFill="1" applyBorder="1" applyAlignment="1">
      <alignment horizontal="center" vertical="center"/>
    </xf>
    <xf numFmtId="10" fontId="42" fillId="18" borderId="27" xfId="5" applyNumberFormat="1" applyFont="1" applyFill="1" applyBorder="1">
      <alignment vertical="center"/>
    </xf>
    <xf numFmtId="0" fontId="23" fillId="18" borderId="24" xfId="20" applyFill="1" applyBorder="1" applyAlignment="1">
      <alignment horizontal="center" vertical="center"/>
    </xf>
    <xf numFmtId="0" fontId="23" fillId="18" borderId="26" xfId="20" applyFill="1" applyBorder="1" applyAlignment="1">
      <alignment horizontal="center" vertical="center"/>
    </xf>
    <xf numFmtId="44" fontId="0" fillId="0" borderId="0" xfId="0" applyNumberFormat="1"/>
    <xf numFmtId="0" fontId="23" fillId="0" borderId="0" xfId="0" applyFont="1"/>
    <xf numFmtId="49" fontId="24" fillId="13" borderId="16" xfId="15" applyNumberFormat="1" applyFont="1" applyFill="1" applyBorder="1" applyAlignment="1">
      <alignment horizontal="left" vertical="center"/>
    </xf>
    <xf numFmtId="181" fontId="23" fillId="0" borderId="0" xfId="15" applyNumberFormat="1">
      <alignment vertical="center"/>
    </xf>
    <xf numFmtId="0" fontId="6" fillId="0" borderId="3" xfId="0" applyFont="1" applyFill="1" applyBorder="1" applyAlignment="1">
      <alignment horizontal="left" vertical="center"/>
    </xf>
    <xf numFmtId="0" fontId="25" fillId="5" borderId="0" xfId="5" applyNumberFormat="1" applyFont="1" applyFill="1" applyAlignment="1">
      <alignment horizontal="right" vertical="center"/>
    </xf>
    <xf numFmtId="0" fontId="25" fillId="5" borderId="0" xfId="23" applyNumberFormat="1" applyFont="1" applyFill="1" applyAlignment="1">
      <alignment horizontal="right" vertical="center"/>
    </xf>
    <xf numFmtId="10" fontId="25" fillId="0" borderId="0" xfId="15" applyNumberFormat="1" applyFont="1" applyAlignment="1">
      <alignment horizontal="right" vertical="center"/>
    </xf>
    <xf numFmtId="49" fontId="27" fillId="13" borderId="0" xfId="15" applyNumberFormat="1" applyFont="1" applyFill="1" applyBorder="1" applyAlignment="1">
      <alignment horizontal="left" vertical="center"/>
    </xf>
    <xf numFmtId="0" fontId="44" fillId="14" borderId="16" xfId="15" applyFont="1" applyFill="1" applyBorder="1">
      <alignment vertical="center"/>
    </xf>
    <xf numFmtId="0" fontId="25" fillId="13" borderId="16" xfId="15" applyNumberFormat="1" applyFont="1" applyFill="1" applyBorder="1" applyAlignment="1">
      <alignment horizontal="center" vertical="center"/>
    </xf>
    <xf numFmtId="0" fontId="25" fillId="14" borderId="16" xfId="15" applyFont="1" applyFill="1" applyBorder="1" applyAlignment="1">
      <alignment horizontal="center" vertical="center"/>
    </xf>
    <xf numFmtId="183" fontId="25" fillId="14" borderId="16" xfId="15" applyNumberFormat="1" applyFont="1" applyFill="1" applyBorder="1" applyAlignment="1">
      <alignment horizontal="center" vertical="center"/>
    </xf>
    <xf numFmtId="0" fontId="17" fillId="14" borderId="0" xfId="15" applyFont="1" applyFill="1" applyBorder="1">
      <alignment vertical="center"/>
    </xf>
    <xf numFmtId="183" fontId="45" fillId="13" borderId="16" xfId="15" applyNumberFormat="1" applyFont="1" applyFill="1" applyBorder="1" applyAlignment="1">
      <alignment horizontal="center" vertical="center"/>
    </xf>
    <xf numFmtId="49" fontId="45" fillId="13" borderId="16" xfId="15" applyNumberFormat="1" applyFont="1" applyFill="1" applyBorder="1" applyAlignment="1">
      <alignment horizontal="left" vertical="center"/>
    </xf>
    <xf numFmtId="181" fontId="45" fillId="9" borderId="0" xfId="15" applyNumberFormat="1" applyFont="1" applyFill="1" applyBorder="1" applyAlignment="1">
      <alignment horizontal="right" vertical="center"/>
    </xf>
    <xf numFmtId="181" fontId="45" fillId="5" borderId="0" xfId="15" applyNumberFormat="1" applyFont="1" applyFill="1" applyAlignment="1">
      <alignment horizontal="right" vertical="center"/>
    </xf>
    <xf numFmtId="181" fontId="45" fillId="5" borderId="0" xfId="15" applyNumberFormat="1" applyFont="1" applyFill="1" applyBorder="1" applyAlignment="1">
      <alignment horizontal="right" vertical="center"/>
    </xf>
    <xf numFmtId="181" fontId="45" fillId="0" borderId="0" xfId="15" applyNumberFormat="1" applyFont="1" applyAlignment="1">
      <alignment horizontal="right" vertical="center"/>
    </xf>
    <xf numFmtId="181" fontId="45" fillId="9" borderId="16" xfId="15" applyNumberFormat="1" applyFont="1" applyFill="1" applyBorder="1" applyAlignment="1">
      <alignment horizontal="right" vertical="center"/>
    </xf>
    <xf numFmtId="178" fontId="45" fillId="0" borderId="0" xfId="15" applyNumberFormat="1" applyFont="1" applyAlignment="1">
      <alignment horizontal="right" vertical="center"/>
    </xf>
    <xf numFmtId="0" fontId="17" fillId="0" borderId="0" xfId="15" applyFont="1">
      <alignment vertical="center"/>
    </xf>
    <xf numFmtId="10" fontId="45" fillId="5" borderId="0" xfId="11" applyNumberFormat="1" applyFont="1" applyFill="1" applyAlignment="1">
      <alignment horizontal="right" vertical="center"/>
    </xf>
    <xf numFmtId="10" fontId="17" fillId="0" borderId="0" xfId="5" applyNumberFormat="1" applyFont="1">
      <alignment vertical="center"/>
    </xf>
    <xf numFmtId="181" fontId="25" fillId="9" borderId="16" xfId="0" applyNumberFormat="1" applyFont="1" applyFill="1" applyBorder="1" applyAlignment="1">
      <alignment horizontal="right" vertical="center"/>
    </xf>
    <xf numFmtId="181" fontId="25" fillId="9" borderId="0" xfId="0" applyNumberFormat="1" applyFont="1" applyFill="1" applyBorder="1" applyAlignment="1">
      <alignment horizontal="right" vertical="center"/>
    </xf>
    <xf numFmtId="181" fontId="25" fillId="0" borderId="0" xfId="0" applyNumberFormat="1" applyFont="1" applyAlignment="1">
      <alignment horizontal="right" vertical="center"/>
    </xf>
    <xf numFmtId="49" fontId="24" fillId="13" borderId="16" xfId="0" applyNumberFormat="1" applyFont="1" applyFill="1" applyBorder="1" applyAlignment="1">
      <alignment horizontal="left" vertical="center"/>
    </xf>
    <xf numFmtId="0" fontId="44" fillId="14" borderId="16" xfId="0" applyFont="1" applyFill="1" applyBorder="1" applyAlignment="1">
      <alignment vertical="center"/>
    </xf>
    <xf numFmtId="0" fontId="4" fillId="0" borderId="1" xfId="5" applyNumberFormat="1" applyFont="1" applyBorder="1" applyAlignment="1">
      <alignment vertical="center"/>
    </xf>
    <xf numFmtId="190" fontId="4" fillId="0" borderId="1" xfId="0" applyNumberFormat="1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4" fillId="14" borderId="1" xfId="0" applyNumberFormat="1" applyFont="1" applyFill="1" applyBorder="1" applyAlignment="1">
      <alignment horizontal="center" vertical="center"/>
    </xf>
    <xf numFmtId="14" fontId="4" fillId="13" borderId="1" xfId="0" applyNumberFormat="1" applyFont="1" applyFill="1" applyBorder="1" applyAlignment="1">
      <alignment horizontal="center" vertical="center"/>
    </xf>
    <xf numFmtId="184" fontId="6" fillId="0" borderId="1" xfId="1" applyNumberFormat="1" applyFont="1" applyFill="1" applyBorder="1" applyAlignment="1">
      <alignment horizontal="right" vertical="center"/>
    </xf>
    <xf numFmtId="184" fontId="15" fillId="0" borderId="1" xfId="1" applyNumberFormat="1" applyFont="1" applyFill="1" applyBorder="1" applyAlignment="1">
      <alignment vertical="center"/>
    </xf>
    <xf numFmtId="183" fontId="25" fillId="13" borderId="16" xfId="15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182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177" fontId="6" fillId="0" borderId="0" xfId="18" applyNumberFormat="1" applyFont="1" applyFill="1" applyAlignment="1">
      <alignment horizontal="center" vertical="center"/>
    </xf>
    <xf numFmtId="0" fontId="6" fillId="0" borderId="0" xfId="1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84" fontId="6" fillId="16" borderId="1" xfId="1" applyNumberFormat="1" applyFont="1" applyFill="1" applyBorder="1" applyAlignment="1">
      <alignment horizontal="right" vertical="center"/>
    </xf>
    <xf numFmtId="0" fontId="4" fillId="16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184" fontId="6" fillId="11" borderId="1" xfId="1" applyNumberFormat="1" applyFont="1" applyFill="1" applyBorder="1" applyAlignment="1">
      <alignment horizontal="right" vertical="center"/>
    </xf>
    <xf numFmtId="184" fontId="15" fillId="19" borderId="1" xfId="1" applyNumberFormat="1" applyFont="1" applyFill="1" applyBorder="1" applyAlignment="1">
      <alignment vertical="center"/>
    </xf>
    <xf numFmtId="184" fontId="15" fillId="11" borderId="1" xfId="1" applyNumberFormat="1" applyFont="1" applyFill="1" applyBorder="1" applyAlignment="1">
      <alignment vertical="center"/>
    </xf>
    <xf numFmtId="0" fontId="4" fillId="12" borderId="0" xfId="0" applyFont="1" applyFill="1" applyAlignment="1">
      <alignment vertical="center"/>
    </xf>
    <xf numFmtId="184" fontId="15" fillId="12" borderId="1" xfId="1" applyNumberFormat="1" applyFont="1" applyFill="1" applyBorder="1" applyAlignment="1">
      <alignment vertical="center"/>
    </xf>
    <xf numFmtId="184" fontId="6" fillId="19" borderId="1" xfId="1" applyNumberFormat="1" applyFont="1" applyFill="1" applyBorder="1" applyAlignment="1">
      <alignment horizontal="right" vertical="center"/>
    </xf>
    <xf numFmtId="0" fontId="4" fillId="19" borderId="0" xfId="0" applyFont="1" applyFill="1" applyAlignment="1">
      <alignment vertical="center"/>
    </xf>
    <xf numFmtId="184" fontId="15" fillId="20" borderId="1" xfId="1" applyNumberFormat="1" applyFont="1" applyFill="1" applyBorder="1" applyAlignment="1">
      <alignment vertical="center"/>
    </xf>
    <xf numFmtId="0" fontId="4" fillId="20" borderId="0" xfId="0" applyFont="1" applyFill="1" applyAlignment="1">
      <alignment vertical="center"/>
    </xf>
    <xf numFmtId="184" fontId="15" fillId="21" borderId="1" xfId="1" applyNumberFormat="1" applyFont="1" applyFill="1" applyBorder="1" applyAlignment="1">
      <alignment vertical="center"/>
    </xf>
    <xf numFmtId="0" fontId="4" fillId="21" borderId="0" xfId="0" applyFont="1" applyFill="1" applyAlignment="1">
      <alignment vertical="center"/>
    </xf>
    <xf numFmtId="184" fontId="15" fillId="22" borderId="1" xfId="1" applyNumberFormat="1" applyFont="1" applyFill="1" applyBorder="1" applyAlignment="1">
      <alignment vertical="center"/>
    </xf>
    <xf numFmtId="0" fontId="4" fillId="22" borderId="0" xfId="0" applyFont="1" applyFill="1" applyAlignment="1">
      <alignment vertical="center"/>
    </xf>
    <xf numFmtId="0" fontId="4" fillId="23" borderId="0" xfId="0" applyFont="1" applyFill="1" applyAlignment="1">
      <alignment vertical="center"/>
    </xf>
    <xf numFmtId="184" fontId="15" fillId="23" borderId="1" xfId="1" applyNumberFormat="1" applyFont="1" applyFill="1" applyBorder="1" applyAlignment="1">
      <alignment vertical="center"/>
    </xf>
    <xf numFmtId="184" fontId="15" fillId="13" borderId="1" xfId="1" applyNumberFormat="1" applyFont="1" applyFill="1" applyBorder="1" applyAlignment="1">
      <alignment vertical="center"/>
    </xf>
    <xf numFmtId="0" fontId="4" fillId="13" borderId="0" xfId="0" applyFont="1" applyFill="1" applyAlignment="1">
      <alignment vertical="center"/>
    </xf>
    <xf numFmtId="0" fontId="4" fillId="24" borderId="0" xfId="0" applyFont="1" applyFill="1" applyAlignment="1">
      <alignment vertical="center"/>
    </xf>
    <xf numFmtId="184" fontId="15" fillId="24" borderId="1" xfId="1" applyNumberFormat="1" applyFont="1" applyFill="1" applyBorder="1" applyAlignment="1">
      <alignment vertical="center"/>
    </xf>
    <xf numFmtId="184" fontId="15" fillId="18" borderId="1" xfId="1" applyNumberFormat="1" applyFont="1" applyFill="1" applyBorder="1" applyAlignment="1">
      <alignment vertical="center"/>
    </xf>
    <xf numFmtId="0" fontId="4" fillId="18" borderId="0" xfId="0" applyFont="1" applyFill="1" applyAlignment="1">
      <alignment vertical="center"/>
    </xf>
    <xf numFmtId="184" fontId="15" fillId="25" borderId="1" xfId="1" applyNumberFormat="1" applyFont="1" applyFill="1" applyBorder="1" applyAlignment="1">
      <alignment vertical="center"/>
    </xf>
    <xf numFmtId="0" fontId="4" fillId="25" borderId="0" xfId="0" applyFont="1" applyFill="1" applyAlignment="1">
      <alignment vertical="center"/>
    </xf>
    <xf numFmtId="184" fontId="15" fillId="5" borderId="1" xfId="1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184" fontId="15" fillId="26" borderId="1" xfId="1" applyNumberFormat="1" applyFont="1" applyFill="1" applyBorder="1" applyAlignment="1">
      <alignment vertical="center"/>
    </xf>
    <xf numFmtId="0" fontId="4" fillId="26" borderId="0" xfId="0" applyFont="1" applyFill="1" applyAlignment="1">
      <alignment vertical="center"/>
    </xf>
    <xf numFmtId="10" fontId="0" fillId="0" borderId="0" xfId="5" applyNumberFormat="1" applyFont="1" applyAlignment="1"/>
    <xf numFmtId="182" fontId="4" fillId="0" borderId="1" xfId="21" applyNumberFormat="1" applyFont="1" applyFill="1" applyBorder="1" applyAlignment="1">
      <alignment vertical="center"/>
    </xf>
    <xf numFmtId="191" fontId="0" fillId="0" borderId="0" xfId="5" applyNumberFormat="1" applyFont="1" applyAlignment="1"/>
    <xf numFmtId="0" fontId="6" fillId="14" borderId="1" xfId="0" applyFont="1" applyFill="1" applyBorder="1" applyAlignment="1">
      <alignment horizontal="center" vertical="center"/>
    </xf>
    <xf numFmtId="49" fontId="25" fillId="13" borderId="0" xfId="15" applyNumberFormat="1" applyFont="1" applyFill="1" applyBorder="1" applyAlignment="1">
      <alignment horizontal="left" vertical="center"/>
    </xf>
    <xf numFmtId="49" fontId="25" fillId="13" borderId="29" xfId="15" applyNumberFormat="1" applyFont="1" applyFill="1" applyBorder="1" applyAlignment="1">
      <alignment horizontal="left" vertical="center"/>
    </xf>
    <xf numFmtId="181" fontId="25" fillId="9" borderId="29" xfId="15" applyNumberFormat="1" applyFont="1" applyFill="1" applyBorder="1" applyAlignment="1">
      <alignment horizontal="right" vertical="center"/>
    </xf>
    <xf numFmtId="181" fontId="25" fillId="0" borderId="0" xfId="15" applyNumberFormat="1" applyFont="1" applyBorder="1" applyAlignment="1">
      <alignment horizontal="right" vertical="center"/>
    </xf>
    <xf numFmtId="49" fontId="25" fillId="13" borderId="30" xfId="15" applyNumberFormat="1" applyFont="1" applyFill="1" applyBorder="1" applyAlignment="1">
      <alignment horizontal="left" vertical="center"/>
    </xf>
    <xf numFmtId="49" fontId="24" fillId="13" borderId="31" xfId="15" applyNumberFormat="1" applyFont="1" applyFill="1" applyBorder="1" applyAlignment="1">
      <alignment horizontal="left" vertical="center"/>
    </xf>
    <xf numFmtId="49" fontId="25" fillId="13" borderId="32" xfId="15" applyNumberFormat="1" applyFont="1" applyFill="1" applyBorder="1" applyAlignment="1">
      <alignment horizontal="left" vertical="center"/>
    </xf>
    <xf numFmtId="181" fontId="25" fillId="9" borderId="32" xfId="15" applyNumberFormat="1" applyFont="1" applyFill="1" applyBorder="1" applyAlignment="1">
      <alignment horizontal="right" vertical="center"/>
    </xf>
    <xf numFmtId="49" fontId="25" fillId="13" borderId="27" xfId="15" applyNumberFormat="1" applyFont="1" applyFill="1" applyBorder="1" applyAlignment="1">
      <alignment horizontal="left" vertical="center"/>
    </xf>
    <xf numFmtId="49" fontId="25" fillId="13" borderId="22" xfId="15" applyNumberFormat="1" applyFont="1" applyFill="1" applyBorder="1" applyAlignment="1">
      <alignment horizontal="left" vertical="center"/>
    </xf>
    <xf numFmtId="181" fontId="25" fillId="9" borderId="22" xfId="15" applyNumberFormat="1" applyFont="1" applyFill="1" applyBorder="1" applyAlignment="1">
      <alignment horizontal="right" vertical="center"/>
    </xf>
    <xf numFmtId="181" fontId="25" fillId="0" borderId="22" xfId="15" applyNumberFormat="1" applyFont="1" applyBorder="1" applyAlignment="1">
      <alignment horizontal="right" vertical="center"/>
    </xf>
    <xf numFmtId="192" fontId="25" fillId="9" borderId="27" xfId="15" applyNumberFormat="1" applyFont="1" applyFill="1" applyBorder="1" applyAlignment="1">
      <alignment horizontal="right" vertical="center"/>
    </xf>
    <xf numFmtId="192" fontId="25" fillId="0" borderId="27" xfId="15" applyNumberFormat="1" applyFont="1" applyBorder="1" applyAlignment="1">
      <alignment horizontal="right" vertical="center"/>
    </xf>
    <xf numFmtId="192" fontId="25" fillId="9" borderId="30" xfId="15" applyNumberFormat="1" applyFont="1" applyFill="1" applyBorder="1" applyAlignment="1">
      <alignment horizontal="right" vertical="center"/>
    </xf>
    <xf numFmtId="192" fontId="25" fillId="0" borderId="0" xfId="15" applyNumberFormat="1" applyFont="1" applyAlignment="1">
      <alignment horizontal="right" vertical="center"/>
    </xf>
    <xf numFmtId="192" fontId="25" fillId="9" borderId="16" xfId="15" applyNumberFormat="1" applyFont="1" applyFill="1" applyBorder="1" applyAlignment="1">
      <alignment horizontal="right" vertical="center"/>
    </xf>
    <xf numFmtId="193" fontId="25" fillId="5" borderId="0" xfId="5" applyNumberFormat="1" applyFont="1" applyFill="1" applyAlignment="1">
      <alignment horizontal="right" vertical="center"/>
    </xf>
    <xf numFmtId="0" fontId="40" fillId="18" borderId="18" xfId="20" applyFont="1" applyFill="1" applyBorder="1" applyAlignment="1">
      <alignment horizontal="center" vertical="center"/>
    </xf>
    <xf numFmtId="0" fontId="40" fillId="18" borderId="19" xfId="20" applyFont="1" applyFill="1" applyBorder="1" applyAlignment="1">
      <alignment horizontal="center" vertical="center"/>
    </xf>
    <xf numFmtId="0" fontId="40" fillId="18" borderId="20" xfId="20" applyFont="1" applyFill="1" applyBorder="1" applyAlignment="1">
      <alignment horizontal="center" vertical="center"/>
    </xf>
    <xf numFmtId="0" fontId="41" fillId="18" borderId="22" xfId="20" applyFont="1" applyFill="1" applyBorder="1" applyAlignment="1">
      <alignment horizontal="left" vertical="center" wrapText="1"/>
    </xf>
    <xf numFmtId="0" fontId="41" fillId="18" borderId="23" xfId="20" applyFont="1" applyFill="1" applyBorder="1" applyAlignment="1">
      <alignment horizontal="left" vertical="center" wrapText="1"/>
    </xf>
    <xf numFmtId="0" fontId="41" fillId="18" borderId="0" xfId="20" applyFont="1" applyFill="1" applyAlignment="1">
      <alignment horizontal="left" vertical="center" wrapText="1"/>
    </xf>
    <xf numFmtId="0" fontId="41" fillId="18" borderId="25" xfId="20" applyFont="1" applyFill="1" applyBorder="1" applyAlignment="1">
      <alignment horizontal="left" vertical="center" wrapText="1"/>
    </xf>
    <xf numFmtId="0" fontId="41" fillId="18" borderId="27" xfId="20" applyFont="1" applyFill="1" applyBorder="1" applyAlignment="1">
      <alignment horizontal="left" vertical="center" wrapText="1"/>
    </xf>
    <xf numFmtId="0" fontId="41" fillId="18" borderId="28" xfId="20" applyFont="1" applyFill="1" applyBorder="1" applyAlignment="1">
      <alignment horizontal="left" vertical="center" wrapText="1"/>
    </xf>
    <xf numFmtId="0" fontId="23" fillId="0" borderId="0" xfId="20">
      <alignment vertical="center"/>
    </xf>
    <xf numFmtId="0" fontId="15" fillId="0" borderId="3" xfId="18" applyFont="1" applyFill="1" applyBorder="1" applyAlignment="1">
      <alignment horizontal="left" vertical="center"/>
    </xf>
    <xf numFmtId="0" fontId="15" fillId="0" borderId="4" xfId="18" applyFont="1" applyFill="1" applyBorder="1" applyAlignment="1">
      <alignment horizontal="left" vertical="center"/>
    </xf>
    <xf numFmtId="0" fontId="15" fillId="0" borderId="6" xfId="18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5" fillId="7" borderId="3" xfId="0" applyFont="1" applyFill="1" applyBorder="1" applyAlignment="1" applyProtection="1">
      <alignment vertical="center"/>
      <protection hidden="1"/>
    </xf>
    <xf numFmtId="0" fontId="15" fillId="7" borderId="4" xfId="0" applyFont="1" applyFill="1" applyBorder="1" applyAlignment="1" applyProtection="1">
      <alignment vertical="center"/>
      <protection hidden="1"/>
    </xf>
    <xf numFmtId="0" fontId="15" fillId="7" borderId="6" xfId="0" applyFont="1" applyFill="1" applyBorder="1" applyAlignment="1" applyProtection="1">
      <alignment vertical="center"/>
      <protection hidden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5" fillId="7" borderId="3" xfId="0" applyFont="1" applyFill="1" applyBorder="1" applyAlignment="1" applyProtection="1">
      <alignment horizontal="left" vertical="center"/>
      <protection hidden="1"/>
    </xf>
    <xf numFmtId="0" fontId="15" fillId="7" borderId="4" xfId="0" applyFont="1" applyFill="1" applyBorder="1" applyAlignment="1" applyProtection="1">
      <alignment horizontal="left" vertical="center"/>
      <protection hidden="1"/>
    </xf>
    <xf numFmtId="0" fontId="15" fillId="7" borderId="6" xfId="0" applyFont="1" applyFill="1" applyBorder="1" applyAlignment="1" applyProtection="1">
      <alignment horizontal="left" vertical="center"/>
      <protection hidden="1"/>
    </xf>
    <xf numFmtId="0" fontId="4" fillId="0" borderId="3" xfId="0" applyFont="1" applyBorder="1" applyAlignment="1">
      <alignment horizontal="left" vertical="center"/>
    </xf>
    <xf numFmtId="0" fontId="15" fillId="7" borderId="7" xfId="0" applyFont="1" applyFill="1" applyBorder="1" applyAlignment="1" applyProtection="1">
      <alignment horizontal="center" vertical="center"/>
      <protection hidden="1"/>
    </xf>
    <xf numFmtId="0" fontId="15" fillId="7" borderId="8" xfId="0" applyFont="1" applyFill="1" applyBorder="1" applyAlignment="1" applyProtection="1">
      <alignment horizontal="center" vertical="center"/>
      <protection hidden="1"/>
    </xf>
    <xf numFmtId="0" fontId="15" fillId="7" borderId="9" xfId="0" applyFont="1" applyFill="1" applyBorder="1" applyAlignment="1" applyProtection="1">
      <alignment horizontal="center" vertical="center"/>
      <protection hidden="1"/>
    </xf>
    <xf numFmtId="0" fontId="15" fillId="7" borderId="0" xfId="0" applyFont="1" applyFill="1" applyBorder="1" applyAlignment="1" applyProtection="1">
      <alignment horizontal="center" vertical="center"/>
      <protection hidden="1"/>
    </xf>
    <xf numFmtId="0" fontId="15" fillId="7" borderId="10" xfId="0" applyFont="1" applyFill="1" applyBorder="1" applyAlignment="1" applyProtection="1">
      <alignment horizontal="center" vertical="center"/>
      <protection hidden="1"/>
    </xf>
    <xf numFmtId="0" fontId="15" fillId="7" borderId="11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84" fontId="6" fillId="7" borderId="3" xfId="1" applyNumberFormat="1" applyFont="1" applyFill="1" applyBorder="1" applyAlignment="1">
      <alignment horizontal="center" vertical="center"/>
    </xf>
    <xf numFmtId="184" fontId="6" fillId="7" borderId="4" xfId="1" applyNumberFormat="1" applyFont="1" applyFill="1" applyBorder="1" applyAlignment="1">
      <alignment horizontal="center" vertical="center"/>
    </xf>
    <xf numFmtId="184" fontId="6" fillId="7" borderId="6" xfId="1" applyNumberFormat="1" applyFont="1" applyFill="1" applyBorder="1" applyAlignment="1">
      <alignment horizontal="center" vertical="center"/>
    </xf>
    <xf numFmtId="182" fontId="4" fillId="0" borderId="2" xfId="2" applyNumberFormat="1" applyFont="1" applyFill="1" applyBorder="1" applyAlignment="1">
      <alignment horizontal="center" vertical="center"/>
    </xf>
    <xf numFmtId="182" fontId="4" fillId="0" borderId="15" xfId="2" applyNumberFormat="1" applyFont="1" applyFill="1" applyBorder="1" applyAlignment="1">
      <alignment horizontal="center" vertical="center"/>
    </xf>
    <xf numFmtId="182" fontId="4" fillId="0" borderId="5" xfId="2" applyNumberFormat="1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left" vertical="center"/>
    </xf>
    <xf numFmtId="0" fontId="15" fillId="14" borderId="4" xfId="0" applyFont="1" applyFill="1" applyBorder="1" applyAlignment="1">
      <alignment horizontal="left" vertical="center"/>
    </xf>
    <xf numFmtId="0" fontId="15" fillId="14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/>
    </xf>
    <xf numFmtId="44" fontId="0" fillId="0" borderId="0" xfId="0" applyNumberFormat="1" applyAlignment="1">
      <alignment vertical="center"/>
    </xf>
  </cellXfs>
  <cellStyles count="24">
    <cellStyle name="%格式" xfId="3" xr:uid="{00000000-0005-0000-0000-000009000000}"/>
    <cellStyle name="Comma 2" xfId="8" xr:uid="{00000000-0005-0000-0000-000012000000}"/>
    <cellStyle name="Style 1" xfId="14" xr:uid="{00000000-0005-0000-0000-00003A000000}"/>
    <cellStyle name="百分比" xfId="5" builtinId="5"/>
    <cellStyle name="百分比 2" xfId="7" xr:uid="{00000000-0005-0000-0000-000010000000}"/>
    <cellStyle name="百分比 3" xfId="16" xr:uid="{00000000-0005-0000-0000-00003C000000}"/>
    <cellStyle name="百分比 4" xfId="9" xr:uid="{00000000-0005-0000-0000-000018000000}"/>
    <cellStyle name="百分比 5" xfId="10" xr:uid="{00000000-0005-0000-0000-00001A000000}"/>
    <cellStyle name="百分比 6" xfId="11" xr:uid="{00000000-0005-0000-0000-00001C000000}"/>
    <cellStyle name="常规" xfId="0" builtinId="0"/>
    <cellStyle name="常规 2" xfId="17" xr:uid="{00000000-0005-0000-0000-00003D000000}"/>
    <cellStyle name="常规 2 2" xfId="12" xr:uid="{00000000-0005-0000-0000-000033000000}"/>
    <cellStyle name="常规 3" xfId="18" xr:uid="{00000000-0005-0000-0000-00003E000000}"/>
    <cellStyle name="常规 4" xfId="19" xr:uid="{00000000-0005-0000-0000-00003F000000}"/>
    <cellStyle name="常规 4 2" xfId="13" xr:uid="{00000000-0005-0000-0000-000039000000}"/>
    <cellStyle name="常规 5" xfId="20" xr:uid="{00000000-0005-0000-0000-000040000000}"/>
    <cellStyle name="常规 6" xfId="6" xr:uid="{00000000-0005-0000-0000-00000F000000}"/>
    <cellStyle name="常规 7" xfId="15" xr:uid="{00000000-0005-0000-0000-00003B000000}"/>
    <cellStyle name="超链接" xfId="4" builtinId="8"/>
    <cellStyle name="千位分隔" xfId="2" builtinId="3"/>
    <cellStyle name="千位分隔 2" xfId="21" xr:uid="{00000000-0005-0000-0000-000041000000}"/>
    <cellStyle name="千位分隔 3" xfId="22" xr:uid="{00000000-0005-0000-0000-000042000000}"/>
    <cellStyle name="千位分隔 4" xfId="23" xr:uid="{00000000-0005-0000-0000-000043000000}"/>
    <cellStyle name="千位分隔[0]" xfId="1" builtinId="6"/>
  </cellStyles>
  <dxfs count="0"/>
  <tableStyles count="0" defaultTableStyle="TableStyleMedium2" defaultPivotStyle="PivotStyleMedium9"/>
  <colors>
    <mruColors>
      <color rgb="FFFF9900"/>
      <color rgb="FF4362E5"/>
      <color rgb="FF004E9D"/>
      <color rgb="FF9966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利润表!$A$41</c:f>
              <c:strCache>
                <c:ptCount val="1"/>
                <c:pt idx="0">
                  <c:v>营业收入-YoY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利润表!$B$2:$J$2</c15:sqref>
                  </c15:fullRef>
                </c:ext>
              </c:extLst>
              <c:f>利润表!$G$2:$J$2</c:f>
              <c:strCache>
                <c:ptCount val="4"/>
                <c:pt idx="0">
                  <c:v>2020E</c:v>
                </c:pt>
                <c:pt idx="1">
                  <c:v>2021E</c:v>
                </c:pt>
                <c:pt idx="2">
                  <c:v>2022E</c:v>
                </c:pt>
                <c:pt idx="3">
                  <c:v>2023E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利润表!$B$41:$J$41</c15:sqref>
                  </c15:fullRef>
                </c:ext>
              </c:extLst>
              <c:f>利润表!$G$41:$J$41</c:f>
              <c:numCache>
                <c:formatCode>0.00%</c:formatCode>
                <c:ptCount val="4"/>
                <c:pt idx="0">
                  <c:v>0.19748823903427315</c:v>
                </c:pt>
                <c:pt idx="1">
                  <c:v>0.2128095901267848</c:v>
                </c:pt>
                <c:pt idx="2">
                  <c:v>0.14084827370542641</c:v>
                </c:pt>
                <c:pt idx="3">
                  <c:v>1.7368926707642007E-2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8-454C-A4E9-79D3B5DC2E0A}"/>
            </c:ext>
          </c:extLst>
        </c:ser>
        <c:ser>
          <c:idx val="1"/>
          <c:order val="1"/>
          <c:tx>
            <c:strRef>
              <c:f>利润表!$A$42</c:f>
              <c:strCache>
                <c:ptCount val="1"/>
                <c:pt idx="0">
                  <c:v>归母净利润-YoY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利润表!$B$2:$J$2</c15:sqref>
                  </c15:fullRef>
                </c:ext>
              </c:extLst>
              <c:f>利润表!$G$2:$J$2</c:f>
              <c:strCache>
                <c:ptCount val="4"/>
                <c:pt idx="0">
                  <c:v>2020E</c:v>
                </c:pt>
                <c:pt idx="1">
                  <c:v>2021E</c:v>
                </c:pt>
                <c:pt idx="2">
                  <c:v>2022E</c:v>
                </c:pt>
                <c:pt idx="3">
                  <c:v>2023E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利润表!$B$42:$J$42</c15:sqref>
                  </c15:fullRef>
                </c:ext>
              </c:extLst>
              <c:f>利润表!$G$42:$J$42</c:f>
              <c:numCache>
                <c:formatCode>0.00%</c:formatCode>
                <c:ptCount val="4"/>
                <c:pt idx="0">
                  <c:v>0.25732776276278013</c:v>
                </c:pt>
                <c:pt idx="1">
                  <c:v>0.26446771429134919</c:v>
                </c:pt>
                <c:pt idx="2">
                  <c:v>0.19380034861534057</c:v>
                </c:pt>
                <c:pt idx="3">
                  <c:v>6.412366599038366E-2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8-454C-A4E9-79D3B5DC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631152"/>
        <c:axId val="1922627888"/>
      </c:lineChart>
      <c:catAx>
        <c:axId val="19226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27888"/>
        <c:crosses val="autoZero"/>
        <c:auto val="1"/>
        <c:lblAlgn val="ctr"/>
        <c:lblOffset val="100"/>
        <c:noMultiLvlLbl val="0"/>
      </c:catAx>
      <c:valAx>
        <c:axId val="192262788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3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利润表!$A$43</c:f>
              <c:strCache>
                <c:ptCount val="1"/>
                <c:pt idx="0">
                  <c:v>毛利率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利润表!$B$2:$J$2</c:f>
              <c:strCache>
                <c:ptCount val="9"/>
                <c:pt idx="0">
                  <c:v>2015A</c:v>
                </c:pt>
                <c:pt idx="1">
                  <c:v>2016A</c:v>
                </c:pt>
                <c:pt idx="2">
                  <c:v>2017A</c:v>
                </c:pt>
                <c:pt idx="3">
                  <c:v>2018A</c:v>
                </c:pt>
                <c:pt idx="4">
                  <c:v>2019E</c:v>
                </c:pt>
                <c:pt idx="5">
                  <c:v>2020E</c:v>
                </c:pt>
                <c:pt idx="6">
                  <c:v>2021E</c:v>
                </c:pt>
                <c:pt idx="7">
                  <c:v>2022E</c:v>
                </c:pt>
                <c:pt idx="8">
                  <c:v>2023E</c:v>
                </c:pt>
              </c:strCache>
            </c:strRef>
          </c:cat>
          <c:val>
            <c:numRef>
              <c:f>利润表!$B$43:$J$43</c:f>
              <c:numCache>
                <c:formatCode>0.00%</c:formatCode>
                <c:ptCount val="9"/>
                <c:pt idx="0">
                  <c:v>0.19005739764676943</c:v>
                </c:pt>
                <c:pt idx="1">
                  <c:v>0.25907304673881609</c:v>
                </c:pt>
                <c:pt idx="2">
                  <c:v>0.22945971531901813</c:v>
                </c:pt>
                <c:pt idx="3">
                  <c:v>0.22028652079367791</c:v>
                </c:pt>
                <c:pt idx="4">
                  <c:v>0.21151534648921541</c:v>
                </c:pt>
                <c:pt idx="5">
                  <c:v>0.21437681743623638</c:v>
                </c:pt>
                <c:pt idx="6">
                  <c:v>0.21689935943307037</c:v>
                </c:pt>
                <c:pt idx="7">
                  <c:v>0.22025774079323537</c:v>
                </c:pt>
                <c:pt idx="8">
                  <c:v>0.22372585267200243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3-4C1E-B275-AA29D9189BC4}"/>
            </c:ext>
          </c:extLst>
        </c:ser>
        <c:ser>
          <c:idx val="1"/>
          <c:order val="1"/>
          <c:tx>
            <c:strRef>
              <c:f>利润表!$A$44</c:f>
              <c:strCache>
                <c:ptCount val="1"/>
                <c:pt idx="0">
                  <c:v>归母净利润率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利润表!$B$2:$J$2</c:f>
              <c:strCache>
                <c:ptCount val="9"/>
                <c:pt idx="0">
                  <c:v>2015A</c:v>
                </c:pt>
                <c:pt idx="1">
                  <c:v>2016A</c:v>
                </c:pt>
                <c:pt idx="2">
                  <c:v>2017A</c:v>
                </c:pt>
                <c:pt idx="3">
                  <c:v>2018A</c:v>
                </c:pt>
                <c:pt idx="4">
                  <c:v>2019E</c:v>
                </c:pt>
                <c:pt idx="5">
                  <c:v>2020E</c:v>
                </c:pt>
                <c:pt idx="6">
                  <c:v>2021E</c:v>
                </c:pt>
                <c:pt idx="7">
                  <c:v>2022E</c:v>
                </c:pt>
                <c:pt idx="8">
                  <c:v>2023E</c:v>
                </c:pt>
              </c:strCache>
            </c:strRef>
          </c:cat>
          <c:val>
            <c:numRef>
              <c:f>利润表!$B$44:$J$44</c:f>
              <c:numCache>
                <c:formatCode>0.00%</c:formatCode>
                <c:ptCount val="9"/>
                <c:pt idx="0">
                  <c:v>4.7251698113600853E-2</c:v>
                </c:pt>
                <c:pt idx="1">
                  <c:v>9.4869081569110239E-2</c:v>
                </c:pt>
                <c:pt idx="2">
                  <c:v>9.375971240470915E-2</c:v>
                </c:pt>
                <c:pt idx="3">
                  <c:v>9.5918758213458577E-2</c:v>
                </c:pt>
                <c:pt idx="4">
                  <c:v>9.5324488558797105E-2</c:v>
                </c:pt>
                <c:pt idx="5">
                  <c:v>0.10008793575525736</c:v>
                </c:pt>
                <c:pt idx="6">
                  <c:v>0.10435105756325654</c:v>
                </c:pt>
                <c:pt idx="7">
                  <c:v>0.10919447552195791</c:v>
                </c:pt>
                <c:pt idx="8">
                  <c:v>0.11421267403394367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3-4C1E-B275-AA29D918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626256"/>
        <c:axId val="1922637680"/>
      </c:lineChart>
      <c:catAx>
        <c:axId val="19226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37680"/>
        <c:crosses val="autoZero"/>
        <c:auto val="1"/>
        <c:lblAlgn val="ctr"/>
        <c:lblOffset val="100"/>
        <c:noMultiLvlLbl val="0"/>
      </c:catAx>
      <c:valAx>
        <c:axId val="192263768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2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</xdr:colOff>
      <xdr:row>0</xdr:row>
      <xdr:rowOff>59690</xdr:rowOff>
    </xdr:from>
    <xdr:ext cx="1328441" cy="35631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810" y="59690"/>
          <a:ext cx="1328441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海底捞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使用说明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304800</xdr:colOff>
      <xdr:row>61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5</xdr:col>
      <xdr:colOff>295275</xdr:colOff>
      <xdr:row>78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51940</xdr:rowOff>
    </xdr:from>
    <xdr:ext cx="1636217" cy="35631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0" y="51940"/>
          <a:ext cx="1636217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海底捞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资产负债假设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62024</xdr:rowOff>
    </xdr:from>
    <xdr:ext cx="1636217" cy="35631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62024"/>
          <a:ext cx="1636217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海底捞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资本开支假设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53734</xdr:rowOff>
    </xdr:from>
    <xdr:ext cx="1482329" cy="35631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53734"/>
          <a:ext cx="1482329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海底捞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资产负债表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62137</xdr:rowOff>
    </xdr:from>
    <xdr:ext cx="1482329" cy="35631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62137"/>
          <a:ext cx="1482329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海底捞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现金流量表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69758</xdr:rowOff>
    </xdr:from>
    <xdr:ext cx="1174552" cy="3563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69758"/>
          <a:ext cx="1174552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海底捞</a:t>
          </a:r>
          <a:r>
            <a:rPr lang="en-US" altLang="zh-CN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利润表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65890</xdr:rowOff>
    </xdr:from>
    <xdr:ext cx="1630318" cy="35631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0" y="65890"/>
          <a:ext cx="1630318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海底捞</a:t>
          </a:r>
          <a:r>
            <a:rPr lang="en-US" altLang="zh-CN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-DCF</a:t>
          </a:r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估值过程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51716</xdr:rowOff>
    </xdr:from>
    <xdr:ext cx="1630318" cy="3563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51716"/>
          <a:ext cx="1630318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海底捞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-DCF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估值结果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8010;&#36130;&#36947;H/&#20844;&#21496;/&#28207;&#32929;/&#38134;&#22825;&#19979;/&#30005;&#21147;&#20844;&#21496;&#36130;&#21153;&#39044;&#27979;&#19982;&#20272;&#20540;&#27169;&#22411;-&#31572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venues"/>
      <sheetName val="PP&amp;E"/>
      <sheetName val="Financing"/>
      <sheetName val="Cals"/>
      <sheetName val="IS"/>
      <sheetName val="BS"/>
      <sheetName val="CFS"/>
      <sheetName val="Ratios"/>
      <sheetName val="DCF"/>
      <sheetName val="Comps"/>
      <sheetName val="1.1核心业务模型-安全边际"/>
      <sheetName val="1.核心业务模型-乐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9505-5B39-4DBD-A5C5-53C8CA13555F}">
  <sheetPr>
    <tabColor rgb="FF00B0F0"/>
  </sheetPr>
  <dimension ref="C1:J62"/>
  <sheetViews>
    <sheetView tabSelected="1" workbookViewId="0">
      <selection activeCell="J9" sqref="J9"/>
    </sheetView>
  </sheetViews>
  <sheetFormatPr defaultColWidth="9" defaultRowHeight="13.5" x14ac:dyDescent="0.15"/>
  <cols>
    <col min="1" max="2" width="9" style="268"/>
    <col min="3" max="3" width="28.5" style="269" customWidth="1"/>
    <col min="4" max="4" width="30.125" style="268" customWidth="1"/>
    <col min="5" max="5" width="18.25" style="268" customWidth="1"/>
    <col min="6" max="6" width="13.75" style="268" customWidth="1"/>
    <col min="7" max="7" width="12.875" style="268" customWidth="1"/>
    <col min="8" max="16384" width="9" style="268"/>
  </cols>
  <sheetData>
    <row r="1" spans="3:10" s="270" customFormat="1" ht="20.100000000000001" customHeight="1" x14ac:dyDescent="0.15">
      <c r="C1" s="271"/>
    </row>
    <row r="2" spans="3:10" s="270" customFormat="1" ht="20.100000000000001" customHeight="1" x14ac:dyDescent="0.15">
      <c r="C2" s="271"/>
    </row>
    <row r="3" spans="3:10" s="270" customFormat="1" ht="27.95" customHeight="1" x14ac:dyDescent="0.15">
      <c r="C3" s="390" t="s">
        <v>463</v>
      </c>
      <c r="D3" s="391"/>
      <c r="E3" s="391"/>
      <c r="F3" s="391"/>
      <c r="G3" s="391"/>
      <c r="H3" s="391"/>
      <c r="I3" s="391"/>
      <c r="J3" s="392"/>
    </row>
    <row r="4" spans="3:10" s="270" customFormat="1" ht="20.100000000000001" customHeight="1" x14ac:dyDescent="0.15">
      <c r="C4" s="271"/>
    </row>
    <row r="5" spans="3:10" s="270" customFormat="1" ht="20.100000000000001" customHeight="1" x14ac:dyDescent="0.15">
      <c r="C5" s="272" t="s">
        <v>199</v>
      </c>
      <c r="D5" s="273"/>
      <c r="E5" s="274"/>
      <c r="F5" s="273" t="s">
        <v>200</v>
      </c>
      <c r="G5" s="275" t="s">
        <v>458</v>
      </c>
      <c r="H5" s="274"/>
      <c r="I5" s="274"/>
      <c r="J5" s="276"/>
    </row>
    <row r="6" spans="3:10" s="270" customFormat="1" ht="20.100000000000001" customHeight="1" x14ac:dyDescent="0.15">
      <c r="C6" s="277" t="s">
        <v>201</v>
      </c>
      <c r="D6" s="278">
        <v>43819</v>
      </c>
      <c r="E6" s="279"/>
      <c r="F6" s="280" t="s">
        <v>202</v>
      </c>
      <c r="G6" s="281" t="s">
        <v>457</v>
      </c>
      <c r="H6" s="279"/>
      <c r="I6" s="279"/>
      <c r="J6" s="282"/>
    </row>
    <row r="7" spans="3:10" s="270" customFormat="1" ht="20.100000000000001" customHeight="1" x14ac:dyDescent="0.15">
      <c r="C7" s="283" t="s">
        <v>203</v>
      </c>
      <c r="D7" s="284" t="s">
        <v>214</v>
      </c>
      <c r="E7" s="285"/>
      <c r="F7" s="284" t="s">
        <v>204</v>
      </c>
      <c r="G7" s="286" t="s">
        <v>476</v>
      </c>
      <c r="H7" s="285"/>
      <c r="I7" s="285"/>
      <c r="J7" s="287"/>
    </row>
    <row r="8" spans="3:10" s="270" customFormat="1" ht="20.100000000000001" customHeight="1" x14ac:dyDescent="0.15">
      <c r="C8" s="288"/>
      <c r="D8" s="279"/>
      <c r="E8" s="279"/>
      <c r="F8" s="279"/>
      <c r="G8" s="279"/>
      <c r="H8" s="279"/>
      <c r="I8" s="279"/>
      <c r="J8" s="279"/>
    </row>
    <row r="9" spans="3:10" s="270" customFormat="1" ht="20.100000000000001" customHeight="1" x14ac:dyDescent="0.15">
      <c r="C9" s="288"/>
      <c r="D9" s="279"/>
      <c r="E9" s="279"/>
      <c r="F9" s="279"/>
      <c r="G9" s="279"/>
      <c r="H9" s="279"/>
      <c r="I9" s="279"/>
      <c r="J9" s="279"/>
    </row>
    <row r="10" spans="3:10" s="270" customFormat="1" ht="20.100000000000001" customHeight="1" x14ac:dyDescent="0.15">
      <c r="C10" s="272" t="s">
        <v>205</v>
      </c>
      <c r="D10" s="289">
        <f ca="1">DCF估值!F48</f>
        <v>21.910603329858802</v>
      </c>
      <c r="E10" s="274" t="s">
        <v>206</v>
      </c>
      <c r="F10" s="274">
        <f>DCF估值!F49</f>
        <v>31.8</v>
      </c>
      <c r="G10" s="274"/>
      <c r="H10" s="274"/>
      <c r="I10" s="274"/>
      <c r="J10" s="276"/>
    </row>
    <row r="11" spans="3:10" s="270" customFormat="1" ht="20.100000000000001" customHeight="1" x14ac:dyDescent="0.15">
      <c r="C11" s="283" t="s">
        <v>207</v>
      </c>
      <c r="D11" s="290">
        <f ca="1">DCF估值!F42</f>
        <v>1005.3439695678913</v>
      </c>
      <c r="E11" s="285" t="s">
        <v>208</v>
      </c>
      <c r="F11" s="291">
        <f ca="1">D10/F10-1</f>
        <v>-0.31098731667110691</v>
      </c>
      <c r="G11" s="285"/>
      <c r="H11" s="285"/>
      <c r="I11" s="285"/>
      <c r="J11" s="287"/>
    </row>
    <row r="12" spans="3:10" s="270" customFormat="1" ht="20.100000000000001" customHeight="1" x14ac:dyDescent="0.15">
      <c r="C12" s="288"/>
      <c r="D12" s="279"/>
      <c r="E12" s="279"/>
      <c r="F12" s="279"/>
      <c r="G12" s="279"/>
      <c r="H12" s="279"/>
      <c r="I12" s="279"/>
      <c r="J12" s="279"/>
    </row>
    <row r="13" spans="3:10" s="270" customFormat="1" ht="20.100000000000001" customHeight="1" x14ac:dyDescent="0.15">
      <c r="C13" s="272" t="s">
        <v>209</v>
      </c>
      <c r="D13" s="275" t="s">
        <v>215</v>
      </c>
      <c r="E13" s="274"/>
      <c r="F13" s="274"/>
      <c r="G13" s="274"/>
      <c r="H13" s="274"/>
      <c r="I13" s="274"/>
      <c r="J13" s="276"/>
    </row>
    <row r="14" spans="3:10" s="270" customFormat="1" ht="20.100000000000001" customHeight="1" x14ac:dyDescent="0.15">
      <c r="C14" s="283" t="s">
        <v>210</v>
      </c>
      <c r="D14" s="286" t="s">
        <v>211</v>
      </c>
      <c r="E14" s="286"/>
      <c r="F14" s="286"/>
      <c r="G14" s="285"/>
      <c r="H14" s="285"/>
      <c r="I14" s="285"/>
      <c r="J14" s="287"/>
    </row>
    <row r="15" spans="3:10" s="270" customFormat="1" ht="20.100000000000001" customHeight="1" x14ac:dyDescent="0.15">
      <c r="C15" s="271"/>
    </row>
    <row r="16" spans="3:10" s="270" customFormat="1" ht="20.100000000000001" customHeight="1" x14ac:dyDescent="0.15">
      <c r="C16" s="271"/>
    </row>
    <row r="17" spans="3:10" s="270" customFormat="1" ht="20.100000000000001" customHeight="1" x14ac:dyDescent="0.15">
      <c r="C17" s="272" t="s">
        <v>212</v>
      </c>
      <c r="D17" s="393" t="s">
        <v>213</v>
      </c>
      <c r="E17" s="393"/>
      <c r="F17" s="393"/>
      <c r="G17" s="393"/>
      <c r="H17" s="393"/>
      <c r="I17" s="393"/>
      <c r="J17" s="394"/>
    </row>
    <row r="18" spans="3:10" s="270" customFormat="1" ht="20.100000000000001" customHeight="1" x14ac:dyDescent="0.15">
      <c r="C18" s="292"/>
      <c r="D18" s="395"/>
      <c r="E18" s="395"/>
      <c r="F18" s="395"/>
      <c r="G18" s="395"/>
      <c r="H18" s="395"/>
      <c r="I18" s="395"/>
      <c r="J18" s="396"/>
    </row>
    <row r="19" spans="3:10" s="270" customFormat="1" ht="20.100000000000001" customHeight="1" x14ac:dyDescent="0.15">
      <c r="C19" s="292"/>
      <c r="D19" s="395"/>
      <c r="E19" s="395"/>
      <c r="F19" s="395"/>
      <c r="G19" s="395"/>
      <c r="H19" s="395"/>
      <c r="I19" s="395"/>
      <c r="J19" s="396"/>
    </row>
    <row r="20" spans="3:10" s="270" customFormat="1" ht="20.100000000000001" customHeight="1" x14ac:dyDescent="0.15">
      <c r="C20" s="292"/>
      <c r="D20" s="395"/>
      <c r="E20" s="395"/>
      <c r="F20" s="395"/>
      <c r="G20" s="395"/>
      <c r="H20" s="395"/>
      <c r="I20" s="395"/>
      <c r="J20" s="396"/>
    </row>
    <row r="21" spans="3:10" s="270" customFormat="1" ht="20.100000000000001" customHeight="1" x14ac:dyDescent="0.15">
      <c r="C21" s="292"/>
      <c r="D21" s="395"/>
      <c r="E21" s="395"/>
      <c r="F21" s="395"/>
      <c r="G21" s="395"/>
      <c r="H21" s="395"/>
      <c r="I21" s="395"/>
      <c r="J21" s="396"/>
    </row>
    <row r="22" spans="3:10" s="270" customFormat="1" ht="20.100000000000001" customHeight="1" x14ac:dyDescent="0.15">
      <c r="C22" s="293"/>
      <c r="D22" s="397"/>
      <c r="E22" s="397"/>
      <c r="F22" s="397"/>
      <c r="G22" s="397"/>
      <c r="H22" s="397"/>
      <c r="I22" s="397"/>
      <c r="J22" s="398"/>
    </row>
    <row r="23" spans="3:10" s="270" customFormat="1" ht="20.100000000000001" customHeight="1" x14ac:dyDescent="0.15">
      <c r="C23" s="271"/>
    </row>
    <row r="24" spans="3:10" s="270" customFormat="1" ht="20.100000000000001" customHeight="1" x14ac:dyDescent="0.15">
      <c r="C24" s="271"/>
    </row>
    <row r="25" spans="3:10" s="270" customFormat="1" ht="20.100000000000001" customHeight="1" x14ac:dyDescent="0.15">
      <c r="C25" s="271"/>
    </row>
    <row r="26" spans="3:10" s="270" customFormat="1" ht="20.100000000000001" customHeight="1" x14ac:dyDescent="0.15">
      <c r="C26" s="271"/>
    </row>
    <row r="27" spans="3:10" s="270" customFormat="1" ht="20.100000000000001" customHeight="1" x14ac:dyDescent="0.15">
      <c r="C27" s="271"/>
    </row>
    <row r="28" spans="3:10" s="270" customFormat="1" ht="20.100000000000001" customHeight="1" x14ac:dyDescent="0.15">
      <c r="C28" s="271"/>
    </row>
    <row r="29" spans="3:10" s="399" customFormat="1" x14ac:dyDescent="0.15"/>
    <row r="30" spans="3:10" s="399" customFormat="1" x14ac:dyDescent="0.15"/>
    <row r="31" spans="3:10" s="399" customFormat="1" x14ac:dyDescent="0.15"/>
    <row r="32" spans="3:10" s="399" customFormat="1" x14ac:dyDescent="0.15"/>
    <row r="33" s="399" customFormat="1" x14ac:dyDescent="0.15"/>
    <row r="34" s="399" customFormat="1" x14ac:dyDescent="0.15"/>
    <row r="35" s="399" customFormat="1" x14ac:dyDescent="0.15"/>
    <row r="36" s="399" customFormat="1" x14ac:dyDescent="0.15"/>
    <row r="37" s="399" customFormat="1" x14ac:dyDescent="0.15"/>
    <row r="38" s="399" customFormat="1" x14ac:dyDescent="0.15"/>
    <row r="39" s="399" customFormat="1" x14ac:dyDescent="0.15"/>
    <row r="40" s="399" customFormat="1" x14ac:dyDescent="0.15"/>
    <row r="41" s="399" customFormat="1" x14ac:dyDescent="0.15"/>
    <row r="42" s="399" customFormat="1" x14ac:dyDescent="0.15"/>
    <row r="43" s="399" customFormat="1" x14ac:dyDescent="0.15"/>
    <row r="44" s="399" customFormat="1" x14ac:dyDescent="0.15"/>
    <row r="45" s="399" customFormat="1" x14ac:dyDescent="0.15"/>
    <row r="46" s="399" customFormat="1" x14ac:dyDescent="0.15"/>
    <row r="47" s="399" customFormat="1" x14ac:dyDescent="0.15"/>
    <row r="48" s="399" customFormat="1" x14ac:dyDescent="0.15"/>
    <row r="49" s="399" customFormat="1" x14ac:dyDescent="0.15"/>
    <row r="50" s="399" customFormat="1" x14ac:dyDescent="0.15"/>
    <row r="51" s="399" customFormat="1" x14ac:dyDescent="0.15"/>
    <row r="52" s="399" customFormat="1" x14ac:dyDescent="0.15"/>
    <row r="53" s="399" customFormat="1" x14ac:dyDescent="0.15"/>
    <row r="54" s="399" customFormat="1" x14ac:dyDescent="0.15"/>
    <row r="55" s="399" customFormat="1" x14ac:dyDescent="0.15"/>
    <row r="56" s="399" customFormat="1" x14ac:dyDescent="0.15"/>
    <row r="57" s="399" customFormat="1" x14ac:dyDescent="0.15"/>
    <row r="58" s="399" customFormat="1" x14ac:dyDescent="0.15"/>
    <row r="59" s="399" customFormat="1" x14ac:dyDescent="0.15"/>
    <row r="60" s="399" customFormat="1" x14ac:dyDescent="0.15"/>
    <row r="61" s="399" customFormat="1" x14ac:dyDescent="0.15"/>
    <row r="62" s="399" customFormat="1" x14ac:dyDescent="0.15"/>
  </sheetData>
  <mergeCells count="3">
    <mergeCell ref="C3:J3"/>
    <mergeCell ref="D17:J22"/>
    <mergeCell ref="A29:XFD62"/>
  </mergeCells>
  <phoneticPr fontId="3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M27"/>
  <sheetViews>
    <sheetView showGridLines="0" zoomScale="85" zoomScaleNormal="85" workbookViewId="0">
      <pane ySplit="3" topLeftCell="A4" activePane="bottomLeft" state="frozen"/>
      <selection pane="bottomLeft" activeCell="O12" sqref="O12"/>
    </sheetView>
  </sheetViews>
  <sheetFormatPr defaultColWidth="9" defaultRowHeight="13.5" x14ac:dyDescent="0.15"/>
  <cols>
    <col min="1" max="1" width="4.125" customWidth="1"/>
    <col min="2" max="2" width="0.875" customWidth="1"/>
    <col min="4" max="4" width="14.125" customWidth="1"/>
    <col min="10" max="10" width="34.125" customWidth="1"/>
    <col min="11" max="11" width="0.875" customWidth="1"/>
  </cols>
  <sheetData>
    <row r="1" spans="2:13" s="183" customFormat="1" ht="12" customHeight="1" x14ac:dyDescent="0.2"/>
    <row r="2" spans="2:13" s="181" customFormat="1" ht="12" customHeight="1" x14ac:dyDescent="0.4">
      <c r="C2" s="184"/>
      <c r="D2" s="185"/>
      <c r="F2" s="186"/>
      <c r="H2" s="185"/>
      <c r="I2" s="185"/>
    </row>
    <row r="3" spans="2:13" s="181" customFormat="1" ht="12" customHeight="1" x14ac:dyDescent="0.35">
      <c r="C3" s="184"/>
      <c r="D3" s="185"/>
      <c r="H3" s="185"/>
      <c r="I3" s="185"/>
      <c r="J3" s="187"/>
      <c r="K3" s="185"/>
      <c r="L3" s="185"/>
    </row>
    <row r="4" spans="2:13" s="160" customFormat="1" ht="23.1" customHeight="1" x14ac:dyDescent="0.35">
      <c r="C4" s="161"/>
      <c r="D4" s="162"/>
      <c r="H4" s="162"/>
      <c r="I4" s="162"/>
      <c r="J4"/>
    </row>
    <row r="5" spans="2:13" s="160" customFormat="1" ht="6" customHeight="1" x14ac:dyDescent="0.35">
      <c r="B5" s="181"/>
      <c r="C5" s="184"/>
      <c r="D5" s="185"/>
      <c r="E5" s="181"/>
      <c r="F5" s="181"/>
      <c r="G5" s="181"/>
      <c r="H5" s="185"/>
      <c r="I5" s="185"/>
      <c r="J5" s="185"/>
      <c r="K5" s="181"/>
    </row>
    <row r="6" spans="2:13" ht="24.95" customHeight="1" x14ac:dyDescent="0.15">
      <c r="B6" s="188"/>
      <c r="C6" s="400" t="s">
        <v>0</v>
      </c>
      <c r="D6" s="401"/>
      <c r="E6" s="401"/>
      <c r="F6" s="401"/>
      <c r="G6" s="401"/>
      <c r="H6" s="401"/>
      <c r="I6" s="401"/>
      <c r="J6" s="402"/>
      <c r="K6" s="190"/>
      <c r="L6" s="170"/>
      <c r="M6" s="170"/>
    </row>
    <row r="7" spans="2:13" ht="24.95" customHeight="1" x14ac:dyDescent="0.15">
      <c r="B7" s="188"/>
      <c r="C7" s="403" t="s">
        <v>1</v>
      </c>
      <c r="D7" s="404"/>
      <c r="E7" s="404"/>
      <c r="F7" s="404"/>
      <c r="G7" s="404"/>
      <c r="H7" s="404"/>
      <c r="I7" s="404"/>
      <c r="J7" s="405"/>
      <c r="K7" s="190"/>
      <c r="L7" s="170"/>
      <c r="M7" s="170"/>
    </row>
    <row r="8" spans="2:13" ht="24.95" customHeight="1" x14ac:dyDescent="0.3">
      <c r="B8" s="188"/>
      <c r="C8" s="406"/>
      <c r="D8" s="407"/>
      <c r="E8" s="407"/>
      <c r="F8" s="407"/>
      <c r="G8" s="407"/>
      <c r="H8" s="407"/>
      <c r="I8" s="407"/>
      <c r="J8" s="408"/>
      <c r="K8" s="190"/>
      <c r="L8" s="170"/>
      <c r="M8" s="170"/>
    </row>
    <row r="9" spans="2:13" ht="24.95" customHeight="1" x14ac:dyDescent="0.15">
      <c r="B9" s="188"/>
      <c r="C9" s="409" t="s">
        <v>2</v>
      </c>
      <c r="D9" s="410"/>
      <c r="E9" s="410"/>
      <c r="F9" s="410"/>
      <c r="G9" s="410"/>
      <c r="H9" s="410"/>
      <c r="I9" s="410"/>
      <c r="J9" s="411"/>
      <c r="K9" s="190"/>
      <c r="L9" s="170"/>
      <c r="M9" s="170"/>
    </row>
    <row r="10" spans="2:13" ht="24.95" customHeight="1" x14ac:dyDescent="0.3">
      <c r="B10" s="188"/>
      <c r="C10" s="163">
        <v>1</v>
      </c>
      <c r="D10" s="164" t="s">
        <v>3</v>
      </c>
      <c r="E10" s="412" t="s">
        <v>4</v>
      </c>
      <c r="F10" s="413"/>
      <c r="G10" s="413"/>
      <c r="H10" s="413"/>
      <c r="I10" s="413"/>
      <c r="J10" s="414"/>
      <c r="K10" s="190"/>
      <c r="L10" s="170"/>
      <c r="M10" s="170"/>
    </row>
    <row r="11" spans="2:13" ht="24.95" customHeight="1" x14ac:dyDescent="0.3">
      <c r="B11" s="188"/>
      <c r="C11" s="167">
        <v>1</v>
      </c>
      <c r="D11" s="164" t="s">
        <v>3</v>
      </c>
      <c r="E11" s="127" t="s">
        <v>5</v>
      </c>
      <c r="F11" s="165"/>
      <c r="G11" s="166"/>
      <c r="H11" s="166"/>
      <c r="I11" s="166"/>
      <c r="J11" s="171"/>
      <c r="K11" s="190"/>
      <c r="L11" s="170"/>
      <c r="M11" s="170"/>
    </row>
    <row r="12" spans="2:13" ht="24.95" customHeight="1" x14ac:dyDescent="0.3">
      <c r="B12" s="188"/>
      <c r="C12" s="167"/>
      <c r="D12" s="164" t="s">
        <v>3</v>
      </c>
      <c r="E12" s="127" t="s">
        <v>6</v>
      </c>
      <c r="F12" s="165"/>
      <c r="G12" s="166"/>
      <c r="H12" s="166"/>
      <c r="I12" s="166"/>
      <c r="J12" s="171"/>
      <c r="K12" s="190"/>
      <c r="L12" s="170"/>
      <c r="M12" s="170"/>
    </row>
    <row r="13" spans="2:13" ht="24.95" customHeight="1" x14ac:dyDescent="0.3">
      <c r="B13" s="188"/>
      <c r="C13" s="406"/>
      <c r="D13" s="407"/>
      <c r="E13" s="407"/>
      <c r="F13" s="407"/>
      <c r="G13" s="407"/>
      <c r="H13" s="407"/>
      <c r="I13" s="407"/>
      <c r="J13" s="408"/>
      <c r="K13" s="190"/>
      <c r="L13" s="170"/>
      <c r="M13" s="170"/>
    </row>
    <row r="14" spans="2:13" ht="24.95" customHeight="1" x14ac:dyDescent="0.15">
      <c r="B14" s="188"/>
      <c r="C14" s="415" t="s">
        <v>7</v>
      </c>
      <c r="D14" s="416"/>
      <c r="E14" s="416"/>
      <c r="F14" s="416"/>
      <c r="G14" s="416"/>
      <c r="H14" s="416"/>
      <c r="I14" s="416"/>
      <c r="J14" s="417"/>
      <c r="K14" s="190"/>
      <c r="L14" s="170"/>
      <c r="M14" s="170"/>
    </row>
    <row r="15" spans="2:13" ht="24.95" customHeight="1" x14ac:dyDescent="0.15">
      <c r="B15" s="188"/>
      <c r="C15" s="259" t="s">
        <v>8</v>
      </c>
      <c r="D15" s="168" t="s">
        <v>9</v>
      </c>
      <c r="E15" s="260" t="s">
        <v>427</v>
      </c>
      <c r="F15" s="419"/>
      <c r="G15" s="420"/>
      <c r="H15" s="420"/>
      <c r="I15" s="420"/>
      <c r="J15" s="420"/>
      <c r="K15" s="190"/>
      <c r="L15" s="170"/>
      <c r="M15" s="170"/>
    </row>
    <row r="16" spans="2:13" ht="24.95" customHeight="1" x14ac:dyDescent="0.15">
      <c r="B16" s="188"/>
      <c r="C16" s="245" t="s">
        <v>10</v>
      </c>
      <c r="D16" s="168" t="s">
        <v>9</v>
      </c>
      <c r="E16" s="244" t="s">
        <v>428</v>
      </c>
      <c r="F16" s="421"/>
      <c r="G16" s="422"/>
      <c r="H16" s="422"/>
      <c r="I16" s="422"/>
      <c r="J16" s="422"/>
      <c r="K16" s="190"/>
      <c r="L16" s="170"/>
      <c r="M16" s="170"/>
    </row>
    <row r="17" spans="2:13" ht="24.95" customHeight="1" x14ac:dyDescent="0.15">
      <c r="B17" s="188"/>
      <c r="C17" s="246" t="s">
        <v>11</v>
      </c>
      <c r="D17" s="168" t="s">
        <v>9</v>
      </c>
      <c r="E17" s="247" t="s">
        <v>429</v>
      </c>
      <c r="F17" s="423"/>
      <c r="G17" s="424"/>
      <c r="H17" s="424"/>
      <c r="I17" s="424"/>
      <c r="J17" s="424"/>
      <c r="K17" s="190"/>
      <c r="L17" s="170"/>
      <c r="M17" s="170"/>
    </row>
    <row r="18" spans="2:13" ht="24.95" customHeight="1" x14ac:dyDescent="0.3">
      <c r="B18" s="188"/>
      <c r="C18" s="406"/>
      <c r="D18" s="407"/>
      <c r="E18" s="407"/>
      <c r="F18" s="407"/>
      <c r="G18" s="407"/>
      <c r="H18" s="407"/>
      <c r="I18" s="407"/>
      <c r="J18" s="408"/>
      <c r="K18" s="190"/>
      <c r="L18" s="170"/>
      <c r="M18" s="170"/>
    </row>
    <row r="19" spans="2:13" ht="24.95" customHeight="1" x14ac:dyDescent="0.15">
      <c r="B19" s="188"/>
      <c r="C19" s="169" t="s">
        <v>12</v>
      </c>
      <c r="D19" s="165"/>
      <c r="E19" s="166"/>
      <c r="F19" s="166"/>
      <c r="G19" s="166"/>
      <c r="H19" s="166"/>
      <c r="I19" s="166"/>
      <c r="J19" s="171"/>
      <c r="K19" s="190"/>
      <c r="L19" s="170"/>
      <c r="M19" s="170"/>
    </row>
    <row r="20" spans="2:13" ht="24.95" customHeight="1" x14ac:dyDescent="0.15">
      <c r="B20" s="188"/>
      <c r="C20" s="418" t="s">
        <v>13</v>
      </c>
      <c r="D20" s="404"/>
      <c r="E20" s="404"/>
      <c r="F20" s="404"/>
      <c r="G20" s="404"/>
      <c r="H20" s="404"/>
      <c r="I20" s="404"/>
      <c r="J20" s="405"/>
      <c r="K20" s="190"/>
      <c r="L20" s="170"/>
      <c r="M20" s="170"/>
    </row>
    <row r="21" spans="2:13" ht="24.95" customHeight="1" x14ac:dyDescent="0.15">
      <c r="B21" s="188"/>
      <c r="C21" s="418" t="s">
        <v>14</v>
      </c>
      <c r="D21" s="404"/>
      <c r="E21" s="404"/>
      <c r="F21" s="404"/>
      <c r="G21" s="404"/>
      <c r="H21" s="404"/>
      <c r="I21" s="404"/>
      <c r="J21" s="405"/>
      <c r="K21" s="190"/>
      <c r="L21" s="170"/>
      <c r="M21" s="170"/>
    </row>
    <row r="22" spans="2:13" ht="24.95" customHeight="1" x14ac:dyDescent="0.15">
      <c r="B22" s="188"/>
      <c r="C22" s="418" t="s">
        <v>15</v>
      </c>
      <c r="D22" s="404"/>
      <c r="E22" s="404"/>
      <c r="F22" s="404"/>
      <c r="G22" s="404"/>
      <c r="H22" s="404"/>
      <c r="I22" s="404"/>
      <c r="J22" s="405"/>
      <c r="K22" s="190"/>
      <c r="L22" s="170"/>
      <c r="M22" s="170"/>
    </row>
    <row r="23" spans="2:13" ht="24.95" customHeight="1" x14ac:dyDescent="0.15">
      <c r="B23" s="188"/>
      <c r="C23" s="418" t="s">
        <v>16</v>
      </c>
      <c r="D23" s="404"/>
      <c r="E23" s="404"/>
      <c r="F23" s="404"/>
      <c r="G23" s="404"/>
      <c r="H23" s="404"/>
      <c r="I23" s="404"/>
      <c r="J23" s="405"/>
      <c r="K23" s="190"/>
      <c r="L23" s="170"/>
      <c r="M23" s="170"/>
    </row>
    <row r="24" spans="2:13" ht="24.95" customHeight="1" x14ac:dyDescent="0.15">
      <c r="B24" s="188"/>
      <c r="C24" s="418" t="s">
        <v>17</v>
      </c>
      <c r="D24" s="404"/>
      <c r="E24" s="404"/>
      <c r="F24" s="404"/>
      <c r="G24" s="404"/>
      <c r="H24" s="404"/>
      <c r="I24" s="404"/>
      <c r="J24" s="405"/>
      <c r="K24" s="190"/>
      <c r="L24" s="170"/>
      <c r="M24" s="170"/>
    </row>
    <row r="25" spans="2:13" ht="24.95" customHeight="1" x14ac:dyDescent="0.15">
      <c r="B25" s="188"/>
      <c r="C25" s="418" t="s">
        <v>18</v>
      </c>
      <c r="D25" s="404"/>
      <c r="E25" s="404"/>
      <c r="F25" s="404"/>
      <c r="G25" s="404"/>
      <c r="H25" s="404"/>
      <c r="I25" s="404"/>
      <c r="J25" s="405"/>
      <c r="K25" s="190"/>
      <c r="L25" s="170"/>
      <c r="M25" s="170"/>
    </row>
    <row r="26" spans="2:13" ht="6" customHeight="1" x14ac:dyDescent="0.15">
      <c r="B26" s="188"/>
      <c r="C26" s="189"/>
      <c r="D26" s="189"/>
      <c r="E26" s="189"/>
      <c r="F26" s="189"/>
      <c r="G26" s="189"/>
      <c r="H26" s="189"/>
      <c r="I26" s="189"/>
      <c r="J26" s="190"/>
      <c r="K26" s="190"/>
      <c r="L26" s="170"/>
      <c r="M26" s="170"/>
    </row>
    <row r="27" spans="2:13" x14ac:dyDescent="0.15">
      <c r="K27" s="170"/>
      <c r="L27" s="170"/>
      <c r="M27" s="170"/>
    </row>
  </sheetData>
  <mergeCells count="15">
    <mergeCell ref="C22:J22"/>
    <mergeCell ref="C23:J23"/>
    <mergeCell ref="C24:J24"/>
    <mergeCell ref="C25:J25"/>
    <mergeCell ref="F15:J17"/>
    <mergeCell ref="C13:J13"/>
    <mergeCell ref="C14:J14"/>
    <mergeCell ref="C18:J18"/>
    <mergeCell ref="C20:J20"/>
    <mergeCell ref="C21:J21"/>
    <mergeCell ref="C6:J6"/>
    <mergeCell ref="C7:J7"/>
    <mergeCell ref="C8:J8"/>
    <mergeCell ref="C9:J9"/>
    <mergeCell ref="E10:J10"/>
  </mergeCells>
  <phoneticPr fontId="37" type="noConversion"/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8075-1D1B-411A-9567-078D3A78981F}">
  <dimension ref="B3:I10"/>
  <sheetViews>
    <sheetView workbookViewId="0">
      <selection activeCell="J11" sqref="J11"/>
    </sheetView>
  </sheetViews>
  <sheetFormatPr defaultRowHeight="13.5" x14ac:dyDescent="0.15"/>
  <sheetData>
    <row r="3" spans="2:9" x14ac:dyDescent="0.15">
      <c r="B3" s="295" t="s">
        <v>216</v>
      </c>
    </row>
    <row r="5" spans="2:9" x14ac:dyDescent="0.15">
      <c r="B5" s="295" t="s">
        <v>217</v>
      </c>
    </row>
    <row r="7" spans="2:9" x14ac:dyDescent="0.15">
      <c r="B7" s="295" t="s">
        <v>218</v>
      </c>
    </row>
    <row r="10" spans="2:9" x14ac:dyDescent="0.15">
      <c r="I10" s="295"/>
    </row>
  </sheetData>
  <phoneticPr fontId="3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workbookViewId="0">
      <pane xSplit="1" ySplit="1" topLeftCell="B2" activePane="bottomRight" state="frozen"/>
      <selection pane="topRight"/>
      <selection pane="bottomLeft"/>
      <selection pane="bottomRight" activeCell="F3" sqref="F3:J3"/>
    </sheetView>
  </sheetViews>
  <sheetFormatPr defaultColWidth="8.875" defaultRowHeight="13.5" x14ac:dyDescent="0.15"/>
  <cols>
    <col min="1" max="1" width="23" style="145" customWidth="1"/>
    <col min="2" max="10" width="11.625" style="145" customWidth="1"/>
    <col min="11" max="11" width="8.875" style="145"/>
    <col min="12" max="12" width="11.375" style="145" customWidth="1"/>
    <col min="13" max="16384" width="8.875" style="145"/>
  </cols>
  <sheetData>
    <row r="1" spans="1:14" x14ac:dyDescent="0.15">
      <c r="A1" s="250" t="s">
        <v>237</v>
      </c>
      <c r="B1" s="305" t="s">
        <v>19</v>
      </c>
      <c r="C1" s="305" t="s">
        <v>20</v>
      </c>
      <c r="D1" s="306" t="s">
        <v>21</v>
      </c>
      <c r="E1" s="306" t="s">
        <v>22</v>
      </c>
      <c r="F1" s="331" t="s">
        <v>23</v>
      </c>
      <c r="G1" s="331" t="s">
        <v>24</v>
      </c>
      <c r="H1" s="331" t="s">
        <v>25</v>
      </c>
      <c r="I1" s="331" t="s">
        <v>26</v>
      </c>
      <c r="J1" s="331" t="s">
        <v>27</v>
      </c>
    </row>
    <row r="2" spans="1:14" x14ac:dyDescent="0.15">
      <c r="A2" s="257" t="s">
        <v>232</v>
      </c>
      <c r="B2" s="152">
        <v>5756682</v>
      </c>
      <c r="C2" s="152">
        <v>7807686</v>
      </c>
      <c r="D2" s="152">
        <v>10637170</v>
      </c>
      <c r="E2" s="152">
        <v>16969100</v>
      </c>
      <c r="F2" s="152">
        <f>F8+F23+F38+F53</f>
        <v>27021512.068727285</v>
      </c>
      <c r="G2" s="152">
        <f>G8+G23+G38+G53</f>
        <v>32357942.903223593</v>
      </c>
      <c r="H2" s="152">
        <f>H8+H23+H38+H53</f>
        <v>39244023.46980451</v>
      </c>
      <c r="I2" s="152">
        <f>I8+I23+I38+I53</f>
        <v>44771476.428781718</v>
      </c>
      <c r="J2" s="152">
        <f>J8+J23+J38+J53</f>
        <v>45549108.921466149</v>
      </c>
    </row>
    <row r="3" spans="1:14" x14ac:dyDescent="0.15">
      <c r="A3" s="251" t="s">
        <v>28</v>
      </c>
      <c r="B3" s="150"/>
      <c r="C3" s="150">
        <f t="shared" ref="C3" si="0">C2/B2-1</f>
        <v>0.35628231679290256</v>
      </c>
      <c r="D3" s="150">
        <f t="shared" ref="D3" si="1">D2/C2-1</f>
        <v>0.36239725829138103</v>
      </c>
      <c r="E3" s="150">
        <f t="shared" ref="E3" si="2">E2/D2-1</f>
        <v>0.59526452994546486</v>
      </c>
      <c r="F3" s="150">
        <f t="shared" ref="F3" si="3">F2/E2-1</f>
        <v>0.5923951222355508</v>
      </c>
      <c r="G3" s="150">
        <f t="shared" ref="G3" si="4">G2/F2-1</f>
        <v>0.19748823903427315</v>
      </c>
      <c r="H3" s="150">
        <f t="shared" ref="H3" si="5">H2/G2-1</f>
        <v>0.2128095901267848</v>
      </c>
      <c r="I3" s="150">
        <f t="shared" ref="I3" si="6">I2/H2-1</f>
        <v>0.14084827370542641</v>
      </c>
      <c r="J3" s="150">
        <f t="shared" ref="J3" si="7">J2/I2-1</f>
        <v>1.7368926707642007E-2</v>
      </c>
    </row>
    <row r="4" spans="1:14" x14ac:dyDescent="0.15">
      <c r="A4" s="257" t="s">
        <v>233</v>
      </c>
      <c r="B4" s="153">
        <f t="shared" ref="B4:J4" si="8">B11+B26+B41+B56</f>
        <v>4587136.5139999995</v>
      </c>
      <c r="C4" s="153">
        <f t="shared" si="8"/>
        <v>5835794.4809999997</v>
      </c>
      <c r="D4" s="153">
        <f t="shared" si="8"/>
        <v>8302517.1359999999</v>
      </c>
      <c r="E4" s="153">
        <f t="shared" si="8"/>
        <v>13589506.111</v>
      </c>
      <c r="F4" s="153">
        <f t="shared" si="8"/>
        <v>21306047.580847915</v>
      </c>
      <c r="G4" s="153">
        <f t="shared" si="8"/>
        <v>25421150.084847067</v>
      </c>
      <c r="H4" s="153">
        <f t="shared" si="8"/>
        <v>30732019.917627532</v>
      </c>
      <c r="I4" s="153">
        <f t="shared" si="8"/>
        <v>34910212.178600669</v>
      </c>
      <c r="J4" s="153">
        <f t="shared" si="8"/>
        <v>35358595.689561225</v>
      </c>
    </row>
    <row r="5" spans="1:14" x14ac:dyDescent="0.15">
      <c r="A5" s="251" t="s">
        <v>28</v>
      </c>
      <c r="B5" s="150"/>
      <c r="C5" s="150">
        <f t="shared" ref="C5" si="9">(C4-B4)/B4</f>
        <v>0.27220859095627087</v>
      </c>
      <c r="D5" s="150">
        <f t="shared" ref="D5" si="10">(D4-C4)/C4</f>
        <v>0.42268840395786383</v>
      </c>
      <c r="E5" s="150">
        <f t="shared" ref="E5" si="11">(E4-D4)/D4</f>
        <v>0.63679350351177644</v>
      </c>
      <c r="F5" s="150">
        <f t="shared" ref="F5" si="12">(F4-E4)/E4</f>
        <v>0.56783089884346682</v>
      </c>
      <c r="G5" s="150">
        <f t="shared" ref="G5" si="13">(G4-F4)/F4</f>
        <v>0.19314246287979908</v>
      </c>
      <c r="H5" s="150">
        <f t="shared" ref="H5" si="14">(H4-G4)/G4</f>
        <v>0.2089154037112643</v>
      </c>
      <c r="I5" s="150">
        <f t="shared" ref="I5" si="15">(I4-H4)/H4</f>
        <v>0.13595566683127697</v>
      </c>
      <c r="J5" s="150">
        <f t="shared" ref="J5" si="16">(J4-I4)/I4</f>
        <v>1.2843906781964723E-2</v>
      </c>
    </row>
    <row r="6" spans="1:14" x14ac:dyDescent="0.15">
      <c r="A6" s="257" t="s">
        <v>219</v>
      </c>
      <c r="B6" s="147"/>
      <c r="C6" s="147"/>
      <c r="D6" s="147"/>
      <c r="E6" s="147"/>
      <c r="F6" s="147"/>
      <c r="G6" s="147"/>
      <c r="H6" s="147"/>
      <c r="I6" s="147"/>
      <c r="J6" s="147"/>
    </row>
    <row r="7" spans="1:14" x14ac:dyDescent="0.15">
      <c r="A7" s="296" t="s">
        <v>221</v>
      </c>
    </row>
    <row r="8" spans="1:14" x14ac:dyDescent="0.15">
      <c r="A8" s="251" t="s">
        <v>29</v>
      </c>
      <c r="B8" s="154">
        <v>2316797</v>
      </c>
      <c r="C8" s="154">
        <v>2713753</v>
      </c>
      <c r="D8" s="154">
        <v>2959223</v>
      </c>
      <c r="E8" s="154">
        <v>4035650</v>
      </c>
      <c r="F8" s="154">
        <f>F16*E14+F18*F15</f>
        <v>6178377.1945448322</v>
      </c>
      <c r="G8" s="154">
        <f t="shared" ref="G8:J8" si="17">G16*F14+G18*G15</f>
        <v>7359474.6171626057</v>
      </c>
      <c r="H8" s="154">
        <f t="shared" si="17"/>
        <v>9043095.7908652537</v>
      </c>
      <c r="I8" s="154">
        <f t="shared" si="17"/>
        <v>10543185.585680492</v>
      </c>
      <c r="J8" s="154">
        <f t="shared" si="17"/>
        <v>11674415.693374962</v>
      </c>
      <c r="K8" s="297"/>
      <c r="L8" s="297"/>
      <c r="M8" s="297"/>
      <c r="N8" s="297"/>
    </row>
    <row r="9" spans="1:14" x14ac:dyDescent="0.15">
      <c r="A9" s="251" t="s">
        <v>28</v>
      </c>
      <c r="B9" s="150"/>
      <c r="C9" s="150">
        <f t="shared" ref="C9" si="18">C8/B8-1</f>
        <v>0.17133827435032067</v>
      </c>
      <c r="D9" s="150">
        <f t="shared" ref="D9" si="19">D8/C8-1</f>
        <v>9.0454068590619663E-2</v>
      </c>
      <c r="E9" s="150">
        <f t="shared" ref="E9" si="20">E8/D8-1</f>
        <v>0.36375325549983906</v>
      </c>
      <c r="F9" s="150">
        <f t="shared" ref="F9" si="21">F8/E8-1</f>
        <v>0.53094970935161179</v>
      </c>
      <c r="G9" s="150">
        <f t="shared" ref="G9" si="22">G8/F8-1</f>
        <v>0.1911662861342649</v>
      </c>
      <c r="H9" s="150">
        <f t="shared" ref="H9" si="23">H8/G8-1</f>
        <v>0.22876920721709837</v>
      </c>
      <c r="I9" s="150">
        <f t="shared" ref="I9" si="24">I8/H8-1</f>
        <v>0.16588232940433212</v>
      </c>
      <c r="J9" s="150">
        <f t="shared" ref="J9" si="25">J8/I8-1</f>
        <v>0.10729490612693748</v>
      </c>
    </row>
    <row r="10" spans="1:14" x14ac:dyDescent="0.15">
      <c r="A10" s="251" t="s">
        <v>30</v>
      </c>
      <c r="B10" s="150">
        <f t="shared" ref="B10:J10" si="26">B8/B2</f>
        <v>0.40245353139186774</v>
      </c>
      <c r="C10" s="150">
        <f t="shared" si="26"/>
        <v>0.34757455666121817</v>
      </c>
      <c r="D10" s="150">
        <f t="shared" si="26"/>
        <v>0.27819645638830631</v>
      </c>
      <c r="E10" s="150">
        <f t="shared" si="26"/>
        <v>0.23782345557513362</v>
      </c>
      <c r="F10" s="150">
        <f t="shared" si="26"/>
        <v>0.22864661232985672</v>
      </c>
      <c r="G10" s="150">
        <f t="shared" si="26"/>
        <v>0.22743950810387992</v>
      </c>
      <c r="H10" s="150">
        <f t="shared" si="26"/>
        <v>0.23043243254156326</v>
      </c>
      <c r="I10" s="150">
        <f t="shared" si="26"/>
        <v>0.23548889665167971</v>
      </c>
      <c r="J10" s="150">
        <f t="shared" si="26"/>
        <v>0.25630393151057018</v>
      </c>
    </row>
    <row r="11" spans="1:14" x14ac:dyDescent="0.15">
      <c r="A11" s="251" t="s">
        <v>31</v>
      </c>
      <c r="B11" s="152">
        <f>B8-B12</f>
        <v>1802468.0660000001</v>
      </c>
      <c r="C11" s="152">
        <f t="shared" ref="C11:D11" si="27">C8-C12</f>
        <v>1975612.1839999999</v>
      </c>
      <c r="D11" s="152">
        <f t="shared" si="27"/>
        <v>2320030.8319999999</v>
      </c>
      <c r="E11" s="152">
        <f t="shared" ref="E11" si="28">E8-E12</f>
        <v>3220448.7</v>
      </c>
      <c r="F11" s="153">
        <f t="shared" ref="F11" si="29">F8-F12</f>
        <v>4887096.3608849626</v>
      </c>
      <c r="G11" s="153">
        <f t="shared" ref="G11:J11" si="30">G8-G12</f>
        <v>5784547.049089808</v>
      </c>
      <c r="H11" s="153">
        <f t="shared" si="30"/>
        <v>7062657.8126657624</v>
      </c>
      <c r="I11" s="153">
        <f t="shared" si="30"/>
        <v>8181512.0144880619</v>
      </c>
      <c r="J11" s="153">
        <f t="shared" si="30"/>
        <v>9000974.4995920956</v>
      </c>
    </row>
    <row r="12" spans="1:14" x14ac:dyDescent="0.15">
      <c r="A12" s="251" t="s">
        <v>32</v>
      </c>
      <c r="B12" s="154">
        <f>B8*B13</f>
        <v>514328.93400000001</v>
      </c>
      <c r="C12" s="154">
        <f t="shared" ref="C12:D12" si="31">C8*C13</f>
        <v>738140.81600000011</v>
      </c>
      <c r="D12" s="154">
        <f t="shared" si="31"/>
        <v>639192.16799999995</v>
      </c>
      <c r="E12" s="154">
        <f t="shared" ref="E12:F12" si="32">E8*E13</f>
        <v>815201.3</v>
      </c>
      <c r="F12" s="154">
        <f t="shared" si="32"/>
        <v>1291280.8336598701</v>
      </c>
      <c r="G12" s="154">
        <f t="shared" ref="G12" si="33">G8*G13</f>
        <v>1574927.5680727977</v>
      </c>
      <c r="H12" s="154">
        <f t="shared" ref="H12" si="34">H8*H13</f>
        <v>1980437.9781994908</v>
      </c>
      <c r="I12" s="154">
        <f t="shared" ref="I12" si="35">I8*I13</f>
        <v>2361673.5711924308</v>
      </c>
      <c r="J12" s="154">
        <f t="shared" ref="J12" si="36">J8*J13</f>
        <v>2673441.1937828665</v>
      </c>
    </row>
    <row r="13" spans="1:14" x14ac:dyDescent="0.15">
      <c r="A13" s="251" t="s">
        <v>33</v>
      </c>
      <c r="B13" s="156">
        <v>0.222</v>
      </c>
      <c r="C13" s="156">
        <v>0.27200000000000002</v>
      </c>
      <c r="D13" s="156">
        <v>0.216</v>
      </c>
      <c r="E13" s="155">
        <v>0.20200000000000001</v>
      </c>
      <c r="F13" s="155">
        <f>AVERAGE(D13:E13)</f>
        <v>0.20900000000000002</v>
      </c>
      <c r="G13" s="155">
        <f>F13+0.5%</f>
        <v>0.21400000000000002</v>
      </c>
      <c r="H13" s="155">
        <f>G13+0.5%</f>
        <v>0.21900000000000003</v>
      </c>
      <c r="I13" s="155">
        <f>H13+0.5%</f>
        <v>0.22400000000000003</v>
      </c>
      <c r="J13" s="155">
        <f>I13+0.5%</f>
        <v>0.22900000000000004</v>
      </c>
    </row>
    <row r="14" spans="1:14" x14ac:dyDescent="0.15">
      <c r="A14" s="251" t="s">
        <v>223</v>
      </c>
      <c r="B14" s="154">
        <v>50</v>
      </c>
      <c r="C14" s="154">
        <v>55</v>
      </c>
      <c r="D14" s="154">
        <v>65</v>
      </c>
      <c r="E14" s="154">
        <v>106</v>
      </c>
      <c r="F14" s="154">
        <f>E14+F15</f>
        <v>156</v>
      </c>
      <c r="G14" s="154">
        <f t="shared" ref="G14:J14" si="37">F14+G15</f>
        <v>198</v>
      </c>
      <c r="H14" s="154">
        <f t="shared" si="37"/>
        <v>218</v>
      </c>
      <c r="I14" s="154">
        <f t="shared" si="37"/>
        <v>236</v>
      </c>
      <c r="J14" s="154">
        <f t="shared" si="37"/>
        <v>242</v>
      </c>
    </row>
    <row r="15" spans="1:14" x14ac:dyDescent="0.15">
      <c r="A15" s="251" t="s">
        <v>234</v>
      </c>
      <c r="B15" s="152"/>
      <c r="C15" s="152">
        <f>C14-B14</f>
        <v>5</v>
      </c>
      <c r="D15" s="152">
        <f t="shared" ref="D15:E15" si="38">D14-C14</f>
        <v>10</v>
      </c>
      <c r="E15" s="152">
        <f t="shared" si="38"/>
        <v>41</v>
      </c>
      <c r="F15" s="300">
        <v>50</v>
      </c>
      <c r="G15" s="300">
        <v>42</v>
      </c>
      <c r="H15" s="300">
        <v>20</v>
      </c>
      <c r="I15" s="300">
        <v>18</v>
      </c>
      <c r="J15" s="300">
        <v>6</v>
      </c>
    </row>
    <row r="16" spans="1:14" x14ac:dyDescent="0.15">
      <c r="A16" s="251" t="s">
        <v>224</v>
      </c>
      <c r="B16" s="154">
        <f>2046712/42</f>
        <v>48731.238095238092</v>
      </c>
      <c r="C16" s="154">
        <f>2269970/42</f>
        <v>54046.904761904763</v>
      </c>
      <c r="D16" s="154">
        <f>2106973/39</f>
        <v>54024.948717948719</v>
      </c>
      <c r="E16" s="154">
        <f>2353581/39</f>
        <v>60348.230769230766</v>
      </c>
      <c r="F16" s="154">
        <f>E16*(F17+1)</f>
        <v>55703.763942983671</v>
      </c>
      <c r="G16" s="154">
        <f t="shared" ref="G16:J16" si="39">F16*(G17+1)</f>
        <v>45959.801217771434</v>
      </c>
      <c r="H16" s="154">
        <f t="shared" si="39"/>
        <v>45223.176284477871</v>
      </c>
      <c r="I16" s="154">
        <f t="shared" si="39"/>
        <v>47973.864326523435</v>
      </c>
      <c r="J16" s="154">
        <f t="shared" si="39"/>
        <v>49344.5461644241</v>
      </c>
    </row>
    <row r="17" spans="1:10" x14ac:dyDescent="0.15">
      <c r="A17" s="251" t="s">
        <v>236</v>
      </c>
      <c r="B17" s="154"/>
      <c r="C17" s="301">
        <f>C16/B16-1</f>
        <v>0.10908129722208115</v>
      </c>
      <c r="D17" s="301">
        <f t="shared" ref="D17:E17" si="40">D16/C16-1</f>
        <v>-4.0624054333482373E-4</v>
      </c>
      <c r="E17" s="301">
        <f t="shared" si="40"/>
        <v>0.11704374000046514</v>
      </c>
      <c r="F17" s="301">
        <f>((F20+1)/(E20+1))*(F21/E21)-1</f>
        <v>-7.6961109995210109E-2</v>
      </c>
      <c r="G17" s="301">
        <f t="shared" ref="G17:J17" si="41">((G20+1)/(F20+1))*(G21/F21)-1</f>
        <v>-0.1749246735855372</v>
      </c>
      <c r="H17" s="301">
        <f t="shared" si="41"/>
        <v>-1.6027591803611352E-2</v>
      </c>
      <c r="I17" s="301">
        <f t="shared" si="41"/>
        <v>6.0824742268041243E-2</v>
      </c>
      <c r="J17" s="301">
        <f t="shared" si="41"/>
        <v>2.857142857142847E-2</v>
      </c>
    </row>
    <row r="18" spans="1:10" x14ac:dyDescent="0.15">
      <c r="A18" s="251" t="s">
        <v>235</v>
      </c>
      <c r="B18" s="154"/>
      <c r="C18" s="154">
        <f>(C8-C16*(C14-C15))/C15</f>
        <v>2281.552380952332</v>
      </c>
      <c r="D18" s="154">
        <f>(D8-D16*(D14-D15))/D15</f>
        <v>-1214.9179487179499</v>
      </c>
      <c r="E18" s="154">
        <f>(E8-E16*(E14-E15))/E15</f>
        <v>2756.4634146341464</v>
      </c>
      <c r="F18" s="154">
        <f>F33*F16/F31</f>
        <v>5475.5643317712702</v>
      </c>
      <c r="G18" s="154">
        <f>F18*(1+G17)</f>
        <v>4517.7530283395708</v>
      </c>
      <c r="H18" s="154">
        <f t="shared" ref="H18:J18" si="42">G18*(1+H17)</f>
        <v>4445.344326931815</v>
      </c>
      <c r="I18" s="154">
        <f t="shared" si="42"/>
        <v>4715.7312499101417</v>
      </c>
      <c r="J18" s="154">
        <f t="shared" si="42"/>
        <v>4850.4664284790024</v>
      </c>
    </row>
    <row r="19" spans="1:10" x14ac:dyDescent="0.15">
      <c r="A19" s="251" t="s">
        <v>225</v>
      </c>
      <c r="B19" s="152">
        <f t="shared" ref="B19:J19" si="43">B8/B14</f>
        <v>46335.94</v>
      </c>
      <c r="C19" s="152">
        <f t="shared" si="43"/>
        <v>49340.963636363638</v>
      </c>
      <c r="D19" s="152">
        <f t="shared" si="43"/>
        <v>45526.507692307692</v>
      </c>
      <c r="E19" s="152">
        <f t="shared" si="43"/>
        <v>38072.169811320753</v>
      </c>
      <c r="F19" s="152">
        <f t="shared" si="43"/>
        <v>39604.982016313028</v>
      </c>
      <c r="G19" s="152">
        <f t="shared" si="43"/>
        <v>37169.063723043466</v>
      </c>
      <c r="H19" s="152">
        <f t="shared" si="43"/>
        <v>41482.09078378557</v>
      </c>
      <c r="I19" s="152">
        <f t="shared" si="43"/>
        <v>44674.515193561405</v>
      </c>
      <c r="J19" s="152">
        <f t="shared" si="43"/>
        <v>48241.387162706451</v>
      </c>
    </row>
    <row r="20" spans="1:10" x14ac:dyDescent="0.15">
      <c r="A20" s="251" t="s">
        <v>475</v>
      </c>
      <c r="B20" s="387">
        <v>3.9</v>
      </c>
      <c r="C20" s="387">
        <v>4.3</v>
      </c>
      <c r="D20" s="387">
        <v>4.8</v>
      </c>
      <c r="E20" s="387">
        <v>5.0999999999999996</v>
      </c>
      <c r="F20" s="389">
        <v>4.8</v>
      </c>
      <c r="G20" s="389">
        <v>4.3</v>
      </c>
      <c r="H20" s="389">
        <v>4</v>
      </c>
      <c r="I20" s="389">
        <v>3.9</v>
      </c>
      <c r="J20" s="389">
        <v>3.9</v>
      </c>
    </row>
    <row r="21" spans="1:10" x14ac:dyDescent="0.15">
      <c r="A21" s="251" t="s">
        <v>474</v>
      </c>
      <c r="B21" s="388">
        <v>93.2</v>
      </c>
      <c r="C21" s="388">
        <v>95.3</v>
      </c>
      <c r="D21" s="388">
        <v>98.3</v>
      </c>
      <c r="E21" s="388">
        <v>106.1</v>
      </c>
      <c r="F21" s="299">
        <v>103</v>
      </c>
      <c r="G21" s="299">
        <v>93</v>
      </c>
      <c r="H21" s="299">
        <v>97</v>
      </c>
      <c r="I21" s="299">
        <v>105</v>
      </c>
      <c r="J21" s="299">
        <v>108</v>
      </c>
    </row>
    <row r="22" spans="1:10" x14ac:dyDescent="0.15">
      <c r="A22" s="296" t="s">
        <v>222</v>
      </c>
      <c r="B22" s="147"/>
      <c r="C22" s="154"/>
      <c r="D22" s="154"/>
      <c r="E22" s="154"/>
      <c r="F22" s="154"/>
      <c r="G22" s="154"/>
      <c r="H22" s="154"/>
      <c r="I22" s="154"/>
      <c r="J22" s="154"/>
    </row>
    <row r="23" spans="1:10" x14ac:dyDescent="0.15">
      <c r="A23" s="251" t="s">
        <v>29</v>
      </c>
      <c r="B23" s="152">
        <v>2879563</v>
      </c>
      <c r="C23" s="153">
        <v>3776360</v>
      </c>
      <c r="D23" s="153">
        <v>5230981</v>
      </c>
      <c r="E23" s="153">
        <v>7794845</v>
      </c>
      <c r="F23" s="153">
        <f>F31*E29+F30*F33</f>
        <v>12564171.382469051</v>
      </c>
      <c r="G23" s="153">
        <f t="shared" ref="G23:J23" si="44">G31*F29+G30*G33</f>
        <v>14005896.907936946</v>
      </c>
      <c r="H23" s="153">
        <f t="shared" si="44"/>
        <v>15413068.054998476</v>
      </c>
      <c r="I23" s="153">
        <f t="shared" si="44"/>
        <v>17499193.765588101</v>
      </c>
      <c r="J23" s="153">
        <f t="shared" si="44"/>
        <v>17119483.091314845</v>
      </c>
    </row>
    <row r="24" spans="1:10" x14ac:dyDescent="0.15">
      <c r="A24" s="251" t="s">
        <v>28</v>
      </c>
      <c r="B24" s="150"/>
      <c r="C24" s="150">
        <f t="shared" ref="C24:E24" si="45">C23/B23-1</f>
        <v>0.31143510317364131</v>
      </c>
      <c r="D24" s="150">
        <f t="shared" si="45"/>
        <v>0.38519129532142071</v>
      </c>
      <c r="E24" s="150">
        <f t="shared" si="45"/>
        <v>0.49013062750562475</v>
      </c>
      <c r="F24" s="150">
        <f t="shared" ref="F24" si="46">F23/E23-1</f>
        <v>0.61185647469180604</v>
      </c>
      <c r="G24" s="150">
        <f t="shared" ref="G24" si="47">G23/F23-1</f>
        <v>0.11474895411563346</v>
      </c>
      <c r="H24" s="150">
        <f t="shared" ref="H24" si="48">H23/G23-1</f>
        <v>0.10046990609106277</v>
      </c>
      <c r="I24" s="150">
        <f t="shared" ref="I24" si="49">I23/H23-1</f>
        <v>0.13534785567323127</v>
      </c>
      <c r="J24" s="150">
        <f t="shared" ref="J24" si="50">J23/I23-1</f>
        <v>-2.1698752488811923E-2</v>
      </c>
    </row>
    <row r="25" spans="1:10" x14ac:dyDescent="0.15">
      <c r="A25" s="251" t="s">
        <v>30</v>
      </c>
      <c r="B25" s="150">
        <f t="shared" ref="B25:J25" si="51">B23/B2</f>
        <v>0.50021227505705546</v>
      </c>
      <c r="C25" s="150">
        <f t="shared" si="51"/>
        <v>0.48367211488781697</v>
      </c>
      <c r="D25" s="150">
        <f t="shared" si="51"/>
        <v>0.49176435085647779</v>
      </c>
      <c r="E25" s="150">
        <f t="shared" si="51"/>
        <v>0.45935523981825788</v>
      </c>
      <c r="F25" s="150">
        <f t="shared" si="51"/>
        <v>0.46496921972808103</v>
      </c>
      <c r="G25" s="150">
        <f t="shared" si="51"/>
        <v>0.43284262382889727</v>
      </c>
      <c r="H25" s="150">
        <f t="shared" si="51"/>
        <v>0.39274943525751732</v>
      </c>
      <c r="I25" s="150">
        <f t="shared" si="51"/>
        <v>0.39085585648318261</v>
      </c>
      <c r="J25" s="150">
        <f t="shared" si="51"/>
        <v>0.37584671789807206</v>
      </c>
    </row>
    <row r="26" spans="1:10" x14ac:dyDescent="0.15">
      <c r="A26" s="251" t="s">
        <v>31</v>
      </c>
      <c r="B26" s="154">
        <f>B23-B27</f>
        <v>2315168.6519999998</v>
      </c>
      <c r="C26" s="154">
        <f t="shared" ref="C26:E26" si="52">C23-C27</f>
        <v>2828493.64</v>
      </c>
      <c r="D26" s="154">
        <f t="shared" si="52"/>
        <v>4006931.446</v>
      </c>
      <c r="E26" s="154">
        <f t="shared" si="52"/>
        <v>6072184.2549999999</v>
      </c>
      <c r="F26" s="154">
        <f>F23-F27</f>
        <v>9730950.7357222792</v>
      </c>
      <c r="G26" s="154">
        <f t="shared" ref="G26:J26" si="53">G23-G27</f>
        <v>10805549.464473354</v>
      </c>
      <c r="H26" s="154">
        <f t="shared" si="53"/>
        <v>11844942.800266329</v>
      </c>
      <c r="I26" s="154">
        <f t="shared" si="53"/>
        <v>13395632.82755769</v>
      </c>
      <c r="J26" s="154">
        <f t="shared" si="53"/>
        <v>13053605.85712757</v>
      </c>
    </row>
    <row r="27" spans="1:10" x14ac:dyDescent="0.15">
      <c r="A27" s="251" t="s">
        <v>32</v>
      </c>
      <c r="B27" s="152">
        <f>B23*B28</f>
        <v>564394.348</v>
      </c>
      <c r="C27" s="152">
        <f t="shared" ref="C27:D27" si="54">C23*C28</f>
        <v>947866.36</v>
      </c>
      <c r="D27" s="152">
        <f t="shared" si="54"/>
        <v>1224049.554</v>
      </c>
      <c r="E27" s="152">
        <f>E23*E28</f>
        <v>1722660.7450000001</v>
      </c>
      <c r="F27" s="153">
        <f>F23*F28</f>
        <v>2833220.6467467709</v>
      </c>
      <c r="G27" s="153">
        <f t="shared" ref="G27:J27" si="55">G23*G28</f>
        <v>3200347.4434635923</v>
      </c>
      <c r="H27" s="153">
        <f t="shared" si="55"/>
        <v>3568125.2547321473</v>
      </c>
      <c r="I27" s="153">
        <f t="shared" si="55"/>
        <v>4103560.9380304101</v>
      </c>
      <c r="J27" s="153">
        <f t="shared" si="55"/>
        <v>4065877.2341872761</v>
      </c>
    </row>
    <row r="28" spans="1:10" x14ac:dyDescent="0.15">
      <c r="A28" s="251" t="s">
        <v>33</v>
      </c>
      <c r="B28" s="157">
        <v>0.19600000000000001</v>
      </c>
      <c r="C28" s="157">
        <v>0.251</v>
      </c>
      <c r="D28" s="157">
        <v>0.23400000000000001</v>
      </c>
      <c r="E28" s="155">
        <v>0.221</v>
      </c>
      <c r="F28" s="155">
        <f>AVERAGE(B28:E28)</f>
        <v>0.22550000000000001</v>
      </c>
      <c r="G28" s="155">
        <f>F28+0.3%</f>
        <v>0.22850000000000001</v>
      </c>
      <c r="H28" s="155">
        <f t="shared" ref="H28:J28" si="56">G28+0.3%</f>
        <v>0.23150000000000001</v>
      </c>
      <c r="I28" s="155">
        <f t="shared" si="56"/>
        <v>0.23450000000000001</v>
      </c>
      <c r="J28" s="155">
        <f t="shared" si="56"/>
        <v>0.23750000000000002</v>
      </c>
    </row>
    <row r="29" spans="1:10" x14ac:dyDescent="0.15">
      <c r="A29" s="251" t="s">
        <v>223</v>
      </c>
      <c r="B29" s="154">
        <v>71</v>
      </c>
      <c r="C29" s="154">
        <v>83</v>
      </c>
      <c r="D29" s="154">
        <v>120</v>
      </c>
      <c r="E29" s="154">
        <v>207</v>
      </c>
      <c r="F29" s="154">
        <f>E29+F30</f>
        <v>309</v>
      </c>
      <c r="G29" s="154">
        <f t="shared" ref="G29:J29" si="57">F29+G30</f>
        <v>357</v>
      </c>
      <c r="H29" s="154">
        <f t="shared" si="57"/>
        <v>389</v>
      </c>
      <c r="I29" s="154">
        <f t="shared" si="57"/>
        <v>401</v>
      </c>
      <c r="J29" s="154">
        <f t="shared" si="57"/>
        <v>404</v>
      </c>
    </row>
    <row r="30" spans="1:10" x14ac:dyDescent="0.15">
      <c r="A30" s="251" t="s">
        <v>234</v>
      </c>
      <c r="B30" s="152"/>
      <c r="C30" s="152">
        <f>C29-B29</f>
        <v>12</v>
      </c>
      <c r="D30" s="152">
        <f t="shared" ref="D30:E30" si="58">D29-C29</f>
        <v>37</v>
      </c>
      <c r="E30" s="152">
        <f t="shared" si="58"/>
        <v>87</v>
      </c>
      <c r="F30" s="300">
        <v>102</v>
      </c>
      <c r="G30" s="300">
        <v>48</v>
      </c>
      <c r="H30" s="300">
        <v>32</v>
      </c>
      <c r="I30" s="300">
        <v>12</v>
      </c>
      <c r="J30" s="300">
        <v>3</v>
      </c>
    </row>
    <row r="31" spans="1:10" x14ac:dyDescent="0.15">
      <c r="A31" s="251" t="s">
        <v>224</v>
      </c>
      <c r="B31" s="154">
        <f>2298491/49</f>
        <v>46907.979591836738</v>
      </c>
      <c r="C31" s="154">
        <f>2679111/49</f>
        <v>54675.734693877552</v>
      </c>
      <c r="D31" s="154">
        <f>3953683/71</f>
        <v>55685.67605633803</v>
      </c>
      <c r="E31" s="154">
        <f>4124446/71</f>
        <v>58090.788732394365</v>
      </c>
      <c r="F31" s="154">
        <f>E31*(1+F32)</f>
        <v>57892.367312171205</v>
      </c>
      <c r="G31" s="154">
        <f t="shared" ref="G31:J31" si="59">F31*(1+G32)</f>
        <v>44644.819550212669</v>
      </c>
      <c r="H31" s="154">
        <f t="shared" si="59"/>
        <v>42796.776910879249</v>
      </c>
      <c r="I31" s="154">
        <f t="shared" si="59"/>
        <v>44849.076894560058</v>
      </c>
      <c r="J31" s="154">
        <f t="shared" si="59"/>
        <v>42660.605347981007</v>
      </c>
    </row>
    <row r="32" spans="1:10" x14ac:dyDescent="0.15">
      <c r="A32" s="251" t="s">
        <v>236</v>
      </c>
      <c r="B32" s="154"/>
      <c r="C32" s="301">
        <f>C31/B31-1</f>
        <v>0.16559560163602982</v>
      </c>
      <c r="D32" s="301">
        <f t="shared" ref="D32:E32" si="60">D31/C31-1</f>
        <v>1.8471473097069646E-2</v>
      </c>
      <c r="E32" s="301">
        <f t="shared" si="60"/>
        <v>4.3190867856628845E-2</v>
      </c>
      <c r="F32" s="301">
        <f>((F35+1)/(E35+1))*(F36/E36)-1</f>
        <v>-3.4157122764716386E-3</v>
      </c>
      <c r="G32" s="301">
        <f t="shared" ref="G32:J32" si="61">((G35+1)/(F35+1))*(G36/F36)-1</f>
        <v>-0.22883064516129037</v>
      </c>
      <c r="H32" s="301">
        <f t="shared" si="61"/>
        <v>-4.1394335511982572E-2</v>
      </c>
      <c r="I32" s="301">
        <f t="shared" si="61"/>
        <v>4.7954545454545583E-2</v>
      </c>
      <c r="J32" s="301">
        <f t="shared" si="61"/>
        <v>-4.8796356538711727E-2</v>
      </c>
    </row>
    <row r="33" spans="1:10" x14ac:dyDescent="0.15">
      <c r="A33" s="251" t="s">
        <v>235</v>
      </c>
      <c r="B33" s="154"/>
      <c r="C33" s="154">
        <f>(C23-(C29-C30)*C31)/C30</f>
        <v>-8801.430272108837</v>
      </c>
      <c r="D33" s="154">
        <f t="shared" ref="D33:E33" si="62">(D23-(D29-D30)*D31)/D30</f>
        <v>16461.34830605254</v>
      </c>
      <c r="E33" s="154">
        <f t="shared" si="62"/>
        <v>9470.6937024445524</v>
      </c>
      <c r="F33" s="154">
        <f>AVERAGE(C33:E33)*(1+F32)</f>
        <v>5690.6994985256015</v>
      </c>
      <c r="G33" s="154">
        <f>F33*(1+G32)</f>
        <v>4388.4930608589566</v>
      </c>
      <c r="H33" s="154">
        <f t="shared" ref="H33:J33" si="63">G33*(1+H32)</f>
        <v>4206.834306705754</v>
      </c>
      <c r="I33" s="154">
        <f t="shared" si="63"/>
        <v>4408.5711336864169</v>
      </c>
      <c r="J33" s="154">
        <f t="shared" si="63"/>
        <v>4193.4489248207819</v>
      </c>
    </row>
    <row r="34" spans="1:10" x14ac:dyDescent="0.15">
      <c r="A34" s="251" t="s">
        <v>225</v>
      </c>
      <c r="B34" s="152">
        <f>B23/B29</f>
        <v>40557.225352112677</v>
      </c>
      <c r="C34" s="152">
        <f t="shared" ref="C34:E34" si="64">C23/C29</f>
        <v>45498.313253012049</v>
      </c>
      <c r="D34" s="152">
        <f t="shared" si="64"/>
        <v>43591.508333333331</v>
      </c>
      <c r="E34" s="152">
        <f t="shared" si="64"/>
        <v>37656.256038647341</v>
      </c>
      <c r="F34" s="152">
        <f>F23/F29</f>
        <v>40660.748810579455</v>
      </c>
      <c r="G34" s="152">
        <f t="shared" ref="G34:J34" si="65">G23/G29</f>
        <v>39232.20422391301</v>
      </c>
      <c r="H34" s="152">
        <f t="shared" si="65"/>
        <v>39622.282917733872</v>
      </c>
      <c r="I34" s="152">
        <f t="shared" si="65"/>
        <v>43638.8871959803</v>
      </c>
      <c r="J34" s="152">
        <f t="shared" si="65"/>
        <v>42374.958146818921</v>
      </c>
    </row>
    <row r="35" spans="1:10" x14ac:dyDescent="0.15">
      <c r="A35" s="251" t="s">
        <v>475</v>
      </c>
      <c r="B35" s="387">
        <v>4.0999999999999996</v>
      </c>
      <c r="C35" s="387">
        <v>4.8</v>
      </c>
      <c r="D35" s="387">
        <v>5.2</v>
      </c>
      <c r="E35" s="387">
        <v>5.3</v>
      </c>
      <c r="F35" s="389">
        <v>5.2</v>
      </c>
      <c r="G35" s="389">
        <v>4.0999999999999996</v>
      </c>
      <c r="H35" s="389">
        <v>4</v>
      </c>
      <c r="I35" s="389">
        <v>4.3</v>
      </c>
      <c r="J35" s="389">
        <v>4.0999999999999996</v>
      </c>
    </row>
    <row r="36" spans="1:10" x14ac:dyDescent="0.15">
      <c r="A36" s="251" t="s">
        <v>474</v>
      </c>
      <c r="B36" s="388">
        <v>86.1</v>
      </c>
      <c r="C36" s="388">
        <v>88.5</v>
      </c>
      <c r="D36" s="388">
        <v>92.6</v>
      </c>
      <c r="E36" s="388">
        <v>94.8</v>
      </c>
      <c r="F36" s="299">
        <v>96</v>
      </c>
      <c r="G36" s="299">
        <v>90</v>
      </c>
      <c r="H36" s="299">
        <v>88</v>
      </c>
      <c r="I36" s="299">
        <v>87</v>
      </c>
      <c r="J36" s="299">
        <v>86</v>
      </c>
    </row>
    <row r="37" spans="1:10" x14ac:dyDescent="0.15">
      <c r="A37" s="296" t="s">
        <v>226</v>
      </c>
      <c r="B37" s="147"/>
      <c r="C37" s="147"/>
      <c r="D37" s="147"/>
      <c r="E37" s="147"/>
      <c r="F37" s="147"/>
      <c r="G37" s="147"/>
      <c r="H37" s="147"/>
      <c r="I37" s="147"/>
      <c r="J37" s="147"/>
    </row>
    <row r="38" spans="1:10" x14ac:dyDescent="0.15">
      <c r="A38" s="251" t="s">
        <v>29</v>
      </c>
      <c r="B38" s="154">
        <v>310178</v>
      </c>
      <c r="C38" s="154">
        <v>733596</v>
      </c>
      <c r="D38" s="154">
        <v>1518374</v>
      </c>
      <c r="E38" s="154">
        <v>3378661</v>
      </c>
      <c r="F38" s="154">
        <f>E44*F46+F45*F48</f>
        <v>5397985.8685847363</v>
      </c>
      <c r="G38" s="154">
        <f t="shared" ref="G38:J38" si="66">F44*G46+G45*G48</f>
        <v>7489358.9714461602</v>
      </c>
      <c r="H38" s="154">
        <f t="shared" si="66"/>
        <v>10151386.117369996</v>
      </c>
      <c r="I38" s="154">
        <f t="shared" si="66"/>
        <v>10715176.070903877</v>
      </c>
      <c r="J38" s="154">
        <f t="shared" si="66"/>
        <v>10117177.280709285</v>
      </c>
    </row>
    <row r="39" spans="1:10" x14ac:dyDescent="0.15">
      <c r="A39" s="251" t="s">
        <v>28</v>
      </c>
      <c r="B39" s="150"/>
      <c r="C39" s="150">
        <f t="shared" ref="C39" si="67">C38/B38-1</f>
        <v>1.3650806956005908</v>
      </c>
      <c r="D39" s="150">
        <f t="shared" ref="D39" si="68">D38/C38-1</f>
        <v>1.0697686465029799</v>
      </c>
      <c r="E39" s="150">
        <f t="shared" ref="E39" si="69">E38/D38-1</f>
        <v>1.2251836504049729</v>
      </c>
      <c r="F39" s="150">
        <f t="shared" ref="F39" si="70">F38/E38-1</f>
        <v>0.5976701624059757</v>
      </c>
      <c r="G39" s="150">
        <f t="shared" ref="G39" si="71">G38/F38-1</f>
        <v>0.38743582398628029</v>
      </c>
      <c r="H39" s="150">
        <f t="shared" ref="H39" si="72">H38/G38-1</f>
        <v>0.35544125419452444</v>
      </c>
      <c r="I39" s="150">
        <f t="shared" ref="I39" si="73">I38/H38-1</f>
        <v>5.5538223747511939E-2</v>
      </c>
      <c r="J39" s="150">
        <f t="shared" ref="J39" si="74">J38/I38-1</f>
        <v>-5.5808582727670197E-2</v>
      </c>
    </row>
    <row r="40" spans="1:10" x14ac:dyDescent="0.15">
      <c r="A40" s="251" t="s">
        <v>30</v>
      </c>
      <c r="B40" s="150">
        <f t="shared" ref="B40:J40" si="75">B38/B2</f>
        <v>5.3881385145123528E-2</v>
      </c>
      <c r="C40" s="150">
        <f t="shared" si="75"/>
        <v>9.3958184281488777E-2</v>
      </c>
      <c r="D40" s="150">
        <f t="shared" si="75"/>
        <v>0.14274228953753676</v>
      </c>
      <c r="E40" s="150">
        <f t="shared" si="75"/>
        <v>0.19910667035965374</v>
      </c>
      <c r="F40" s="150">
        <f t="shared" si="75"/>
        <v>0.19976624012954364</v>
      </c>
      <c r="G40" s="150">
        <f t="shared" si="75"/>
        <v>0.23145349486045505</v>
      </c>
      <c r="H40" s="150">
        <f t="shared" si="75"/>
        <v>0.25867342896634354</v>
      </c>
      <c r="I40" s="150">
        <f t="shared" si="75"/>
        <v>0.239330415827331</v>
      </c>
      <c r="J40" s="150">
        <f t="shared" si="75"/>
        <v>0.22211581126982957</v>
      </c>
    </row>
    <row r="41" spans="1:10" x14ac:dyDescent="0.15">
      <c r="A41" s="251" t="s">
        <v>31</v>
      </c>
      <c r="B41" s="152">
        <f>B38-B42</f>
        <v>266132.72399999999</v>
      </c>
      <c r="C41" s="152">
        <f t="shared" ref="C41:E41" si="76">C38-C42</f>
        <v>580274.43599999999</v>
      </c>
      <c r="D41" s="152">
        <f t="shared" si="76"/>
        <v>1213180.8259999999</v>
      </c>
      <c r="E41" s="152">
        <f t="shared" si="76"/>
        <v>2716443.4440000001</v>
      </c>
      <c r="F41" s="152">
        <f t="shared" ref="F41" si="77">F38-F42</f>
        <v>4307592.7231306192</v>
      </c>
      <c r="G41" s="152">
        <f t="shared" ref="G41" si="78">G38-G42</f>
        <v>5954040.382299697</v>
      </c>
      <c r="H41" s="152">
        <f t="shared" ref="H41" si="79">H38-H42</f>
        <v>8039897.8049570369</v>
      </c>
      <c r="I41" s="152">
        <f t="shared" ref="I41" si="80">I38-I42</f>
        <v>8454273.9199431576</v>
      </c>
      <c r="J41" s="152">
        <f t="shared" ref="J41" si="81">J38-J42</f>
        <v>7952101.3426374979</v>
      </c>
    </row>
    <row r="42" spans="1:10" x14ac:dyDescent="0.15">
      <c r="A42" s="251" t="s">
        <v>32</v>
      </c>
      <c r="B42" s="154">
        <f>B38*B43</f>
        <v>44045.275999999998</v>
      </c>
      <c r="C42" s="154">
        <f t="shared" ref="C42:D42" si="82">C38*C43</f>
        <v>153321.56399999998</v>
      </c>
      <c r="D42" s="154">
        <f t="shared" si="82"/>
        <v>305193.174</v>
      </c>
      <c r="E42" s="154">
        <f>E38*E43</f>
        <v>662217.55599999998</v>
      </c>
      <c r="F42" s="154">
        <f>F38*F43</f>
        <v>1090393.1454541169</v>
      </c>
      <c r="G42" s="154">
        <f t="shared" ref="G42:J42" si="83">G38*G43</f>
        <v>1535318.5891464632</v>
      </c>
      <c r="H42" s="154">
        <f t="shared" si="83"/>
        <v>2111488.3124129595</v>
      </c>
      <c r="I42" s="154">
        <f t="shared" si="83"/>
        <v>2260902.1509607187</v>
      </c>
      <c r="J42" s="154">
        <f t="shared" si="83"/>
        <v>2165075.9380717874</v>
      </c>
    </row>
    <row r="43" spans="1:10" x14ac:dyDescent="0.15">
      <c r="A43" s="251" t="s">
        <v>33</v>
      </c>
      <c r="B43" s="156">
        <v>0.14199999999999999</v>
      </c>
      <c r="C43" s="156">
        <v>0.20899999999999999</v>
      </c>
      <c r="D43" s="156">
        <v>0.20100000000000001</v>
      </c>
      <c r="E43" s="155">
        <v>0.19600000000000001</v>
      </c>
      <c r="F43" s="155">
        <f>AVERAGE(C43:E43)</f>
        <v>0.20200000000000004</v>
      </c>
      <c r="G43" s="155">
        <f>F43+0.3%</f>
        <v>0.20500000000000004</v>
      </c>
      <c r="H43" s="155">
        <f t="shared" ref="H43:J43" si="84">G43+0.3%</f>
        <v>0.20800000000000005</v>
      </c>
      <c r="I43" s="155">
        <f t="shared" si="84"/>
        <v>0.21100000000000005</v>
      </c>
      <c r="J43" s="155">
        <f t="shared" si="84"/>
        <v>0.21400000000000005</v>
      </c>
    </row>
    <row r="44" spans="1:10" x14ac:dyDescent="0.15">
      <c r="A44" s="251" t="s">
        <v>223</v>
      </c>
      <c r="B44" s="154">
        <v>18</v>
      </c>
      <c r="C44" s="154">
        <v>29</v>
      </c>
      <c r="D44" s="154">
        <v>69</v>
      </c>
      <c r="E44" s="154">
        <v>117</v>
      </c>
      <c r="F44" s="154">
        <f>E44+F45</f>
        <v>197</v>
      </c>
      <c r="G44" s="154">
        <f t="shared" ref="G44:J44" si="85">F44+G45</f>
        <v>264</v>
      </c>
      <c r="H44" s="154">
        <f t="shared" si="85"/>
        <v>295</v>
      </c>
      <c r="I44" s="154">
        <f t="shared" si="85"/>
        <v>311</v>
      </c>
      <c r="J44" s="154">
        <f t="shared" si="85"/>
        <v>318</v>
      </c>
    </row>
    <row r="45" spans="1:10" x14ac:dyDescent="0.15">
      <c r="A45" s="251" t="s">
        <v>234</v>
      </c>
      <c r="B45" s="297"/>
      <c r="C45" s="154">
        <f>C44-B44</f>
        <v>11</v>
      </c>
      <c r="D45" s="154">
        <f t="shared" ref="D45:E45" si="86">D44-C44</f>
        <v>40</v>
      </c>
      <c r="E45" s="154">
        <f t="shared" si="86"/>
        <v>48</v>
      </c>
      <c r="F45" s="300">
        <f>F70-F71-F60-F30-F15</f>
        <v>80</v>
      </c>
      <c r="G45" s="300">
        <f>G70-G71-G60-G30-G15</f>
        <v>67</v>
      </c>
      <c r="H45" s="300">
        <f>H70-H71-H60-H30-H15</f>
        <v>31</v>
      </c>
      <c r="I45" s="300">
        <f>I70-I71-I60-I30-I15</f>
        <v>16</v>
      </c>
      <c r="J45" s="300">
        <f>J70-J71-J60-J30-J15</f>
        <v>7</v>
      </c>
    </row>
    <row r="46" spans="1:10" x14ac:dyDescent="0.15">
      <c r="A46" s="251" t="s">
        <v>224</v>
      </c>
      <c r="B46" s="154">
        <f>233768/7</f>
        <v>33395.428571428572</v>
      </c>
      <c r="C46" s="154">
        <f>262376/7</f>
        <v>37482.285714285717</v>
      </c>
      <c r="D46" s="154">
        <f>680148/17</f>
        <v>40008.705882352944</v>
      </c>
      <c r="E46" s="154">
        <f>1113128/26</f>
        <v>42812.615384615383</v>
      </c>
      <c r="F46" s="154">
        <f>E46*(1+F47)</f>
        <v>43230.97970433475</v>
      </c>
      <c r="G46" s="154">
        <f t="shared" ref="G46:J46" si="87">F46*(1+G47)</f>
        <v>36787.207423599648</v>
      </c>
      <c r="H46" s="154">
        <f t="shared" si="87"/>
        <v>38013.447671052971</v>
      </c>
      <c r="I46" s="154">
        <f t="shared" si="87"/>
        <v>36130.006768101797</v>
      </c>
      <c r="J46" s="154">
        <f t="shared" si="87"/>
        <v>32459.300667882046</v>
      </c>
    </row>
    <row r="47" spans="1:10" x14ac:dyDescent="0.15">
      <c r="A47" s="251" t="s">
        <v>236</v>
      </c>
      <c r="B47" s="154"/>
      <c r="C47" s="157">
        <f>C46/B46-1</f>
        <v>0.12237774203483798</v>
      </c>
      <c r="D47" s="157">
        <f t="shared" ref="D47:E47" si="88">D46/C46-1</f>
        <v>6.7403044396098011E-2</v>
      </c>
      <c r="E47" s="157">
        <f t="shared" si="88"/>
        <v>7.0082484309975879E-2</v>
      </c>
      <c r="F47" s="157">
        <f>((F50+1)/(E50+1))*(F51/E51)-1</f>
        <v>9.7719869706840434E-3</v>
      </c>
      <c r="G47" s="157">
        <f t="shared" ref="G47:J47" si="89">((G50+1)/(F50+1))*(G51/F51)-1</f>
        <v>-0.14905450500556172</v>
      </c>
      <c r="H47" s="157">
        <f t="shared" si="89"/>
        <v>3.3333333333333437E-2</v>
      </c>
      <c r="I47" s="157">
        <f t="shared" si="89"/>
        <v>-4.9546700400590171E-2</v>
      </c>
      <c r="J47" s="157">
        <f t="shared" si="89"/>
        <v>-0.10159716060337187</v>
      </c>
    </row>
    <row r="48" spans="1:10" x14ac:dyDescent="0.15">
      <c r="A48" s="251" t="s">
        <v>235</v>
      </c>
      <c r="B48" s="154"/>
      <c r="C48" s="154">
        <f>(C38-C46*(C44-C45))/C45</f>
        <v>5355.8961038960952</v>
      </c>
      <c r="D48" s="154">
        <f t="shared" ref="D48:E48" si="90">(D38-D46*(D44-D45))/D45</f>
        <v>8953.0382352941142</v>
      </c>
      <c r="E48" s="154">
        <f t="shared" si="90"/>
        <v>8845.6362179487187</v>
      </c>
      <c r="F48" s="154">
        <f>F33*F46/F31</f>
        <v>4249.5155397196286</v>
      </c>
      <c r="G48" s="154">
        <f>F48*(1+G47)</f>
        <v>3616.1061044332769</v>
      </c>
      <c r="H48" s="154">
        <f t="shared" ref="H48:J48" si="91">G48*(1+H47)</f>
        <v>3736.6429745810533</v>
      </c>
      <c r="I48" s="154">
        <f t="shared" si="91"/>
        <v>3551.5046446155156</v>
      </c>
      <c r="J48" s="154">
        <f t="shared" si="91"/>
        <v>3190.681856852892</v>
      </c>
    </row>
    <row r="49" spans="1:10" x14ac:dyDescent="0.15">
      <c r="A49" s="251" t="s">
        <v>225</v>
      </c>
      <c r="B49" s="152">
        <f>B38/B44</f>
        <v>17232.111111111109</v>
      </c>
      <c r="C49" s="152">
        <f t="shared" ref="C49:E49" si="92">C38/C44</f>
        <v>25296.413793103449</v>
      </c>
      <c r="D49" s="152">
        <f t="shared" si="92"/>
        <v>22005.420289855072</v>
      </c>
      <c r="E49" s="152">
        <f t="shared" si="92"/>
        <v>28877.444444444445</v>
      </c>
      <c r="F49" s="152">
        <f>F38/F44</f>
        <v>27400.943495353989</v>
      </c>
      <c r="G49" s="152">
        <f t="shared" ref="G49:J49" si="93">G38/G44</f>
        <v>28368.783982750607</v>
      </c>
      <c r="H49" s="152">
        <f t="shared" si="93"/>
        <v>34411.478363966089</v>
      </c>
      <c r="I49" s="152">
        <f t="shared" si="93"/>
        <v>34453.942350173238</v>
      </c>
      <c r="J49" s="152">
        <f t="shared" si="93"/>
        <v>31815.022895312217</v>
      </c>
    </row>
    <row r="50" spans="1:10" x14ac:dyDescent="0.15">
      <c r="A50" s="251" t="s">
        <v>475</v>
      </c>
      <c r="B50" s="387">
        <v>3.5</v>
      </c>
      <c r="C50" s="387">
        <v>4.3</v>
      </c>
      <c r="D50" s="387">
        <v>4.7</v>
      </c>
      <c r="E50" s="387">
        <v>4.8</v>
      </c>
      <c r="F50" s="389">
        <v>4.8</v>
      </c>
      <c r="G50" s="389">
        <v>4.0999999999999996</v>
      </c>
      <c r="H50" s="389">
        <v>4.0999999999999996</v>
      </c>
      <c r="I50" s="389">
        <v>3.9</v>
      </c>
      <c r="J50" s="389">
        <v>3.5</v>
      </c>
    </row>
    <row r="51" spans="1:10" x14ac:dyDescent="0.15">
      <c r="A51" s="251" t="s">
        <v>474</v>
      </c>
      <c r="B51" s="388">
        <v>89.8</v>
      </c>
      <c r="C51" s="388">
        <v>92.8</v>
      </c>
      <c r="D51" s="388">
        <v>94.5</v>
      </c>
      <c r="E51" s="388">
        <v>92.1</v>
      </c>
      <c r="F51" s="299">
        <v>93</v>
      </c>
      <c r="G51" s="299">
        <v>90</v>
      </c>
      <c r="H51" s="299">
        <v>93</v>
      </c>
      <c r="I51" s="299">
        <v>92</v>
      </c>
      <c r="J51" s="299">
        <v>90</v>
      </c>
    </row>
    <row r="52" spans="1:10" x14ac:dyDescent="0.15">
      <c r="A52" s="296" t="s">
        <v>220</v>
      </c>
      <c r="B52" s="147"/>
      <c r="C52" s="147"/>
      <c r="D52" s="147"/>
      <c r="E52" s="147"/>
      <c r="F52" s="147"/>
      <c r="G52" s="147"/>
      <c r="H52" s="147"/>
      <c r="I52" s="147"/>
      <c r="J52" s="147"/>
    </row>
    <row r="53" spans="1:10" x14ac:dyDescent="0.15">
      <c r="A53" s="251" t="s">
        <v>29</v>
      </c>
      <c r="B53" s="152">
        <v>250144</v>
      </c>
      <c r="C53" s="152">
        <v>583977</v>
      </c>
      <c r="D53" s="152">
        <v>928592</v>
      </c>
      <c r="E53" s="152">
        <v>1759944</v>
      </c>
      <c r="F53" s="153">
        <f>E59*F61+F60*F63</f>
        <v>2880977.6231286628</v>
      </c>
      <c r="G53" s="153">
        <f t="shared" ref="G53:J53" si="94">F59*G61+G60*G63</f>
        <v>3503212.4066778785</v>
      </c>
      <c r="H53" s="153">
        <f t="shared" si="94"/>
        <v>4636473.5065707825</v>
      </c>
      <c r="I53" s="153">
        <f t="shared" si="94"/>
        <v>6013921.0066092499</v>
      </c>
      <c r="J53" s="153">
        <f t="shared" si="94"/>
        <v>6638032.856067053</v>
      </c>
    </row>
    <row r="54" spans="1:10" x14ac:dyDescent="0.15">
      <c r="A54" s="251" t="s">
        <v>28</v>
      </c>
      <c r="B54" s="150"/>
      <c r="C54" s="150">
        <f t="shared" ref="C54:E54" si="95">C53/B53-1</f>
        <v>1.3345632915440708</v>
      </c>
      <c r="D54" s="150">
        <f t="shared" si="95"/>
        <v>0.59011741900794035</v>
      </c>
      <c r="E54" s="150">
        <f t="shared" si="95"/>
        <v>0.89528231989937446</v>
      </c>
      <c r="F54" s="150">
        <f t="shared" ref="F54" si="96">F53/E53-1</f>
        <v>0.63697118949731513</v>
      </c>
      <c r="G54" s="150">
        <f t="shared" ref="G54" si="97">G53/F53-1</f>
        <v>0.21598042919663007</v>
      </c>
      <c r="H54" s="150">
        <f t="shared" ref="H54" si="98">H53/G53-1</f>
        <v>0.32349197488929415</v>
      </c>
      <c r="I54" s="150">
        <f t="shared" ref="I54" si="99">I53/H53-1</f>
        <v>0.29708947933949315</v>
      </c>
      <c r="J54" s="150">
        <f t="shared" ref="J54" si="100">J53/I53-1</f>
        <v>0.10377785953156171</v>
      </c>
    </row>
    <row r="55" spans="1:10" x14ac:dyDescent="0.15">
      <c r="A55" s="251" t="s">
        <v>30</v>
      </c>
      <c r="B55" s="158">
        <f t="shared" ref="B55:J55" si="101">B53/B2</f>
        <v>4.3452808405953287E-2</v>
      </c>
      <c r="C55" s="158">
        <f t="shared" si="101"/>
        <v>7.479514416947608E-2</v>
      </c>
      <c r="D55" s="158">
        <f t="shared" si="101"/>
        <v>8.7296903217679134E-2</v>
      </c>
      <c r="E55" s="158">
        <f t="shared" si="101"/>
        <v>0.10371463424695476</v>
      </c>
      <c r="F55" s="158">
        <f t="shared" si="101"/>
        <v>0.10661792781251848</v>
      </c>
      <c r="G55" s="158">
        <f t="shared" si="101"/>
        <v>0.10826437320676767</v>
      </c>
      <c r="H55" s="158">
        <f t="shared" si="101"/>
        <v>0.11814470323457582</v>
      </c>
      <c r="I55" s="158">
        <f t="shared" si="101"/>
        <v>0.13432483103780671</v>
      </c>
      <c r="J55" s="158">
        <f t="shared" si="101"/>
        <v>0.14573353932152808</v>
      </c>
    </row>
    <row r="56" spans="1:10" x14ac:dyDescent="0.15">
      <c r="A56" s="251" t="s">
        <v>31</v>
      </c>
      <c r="B56" s="154">
        <f>B53-B57</f>
        <v>203367.07199999999</v>
      </c>
      <c r="C56" s="154">
        <f t="shared" ref="C56:D56" si="102">C53-C57</f>
        <v>451414.22100000002</v>
      </c>
      <c r="D56" s="154">
        <f t="shared" si="102"/>
        <v>762374.03200000001</v>
      </c>
      <c r="E56" s="154">
        <f>E53-E57</f>
        <v>1580429.7120000001</v>
      </c>
      <c r="F56" s="154">
        <f>F53-F57</f>
        <v>2380407.7611100576</v>
      </c>
      <c r="G56" s="154">
        <f t="shared" ref="G56:J56" si="103">G53-G57</f>
        <v>2877013.1889842078</v>
      </c>
      <c r="H56" s="154">
        <f t="shared" si="103"/>
        <v>3784521.4997384013</v>
      </c>
      <c r="I56" s="154">
        <f t="shared" si="103"/>
        <v>4878793.4166117534</v>
      </c>
      <c r="J56" s="154">
        <f t="shared" si="103"/>
        <v>5351913.9902040614</v>
      </c>
    </row>
    <row r="57" spans="1:10" x14ac:dyDescent="0.15">
      <c r="A57" s="251" t="s">
        <v>32</v>
      </c>
      <c r="B57" s="152">
        <f>B53*B58</f>
        <v>46776.928</v>
      </c>
      <c r="C57" s="152">
        <f t="shared" ref="C57:D57" si="104">C53*C58</f>
        <v>132562.77900000001</v>
      </c>
      <c r="D57" s="152">
        <f t="shared" si="104"/>
        <v>166217.96799999999</v>
      </c>
      <c r="E57" s="152">
        <f>E53*E58</f>
        <v>179514.288</v>
      </c>
      <c r="F57" s="153">
        <f>F53*F58</f>
        <v>500569.86201860511</v>
      </c>
      <c r="G57" s="153">
        <f t="shared" ref="G57:J57" si="105">G53*G58</f>
        <v>626199.21769367077</v>
      </c>
      <c r="H57" s="153">
        <f t="shared" si="105"/>
        <v>851952.00683238124</v>
      </c>
      <c r="I57" s="153">
        <f t="shared" si="105"/>
        <v>1135127.589997496</v>
      </c>
      <c r="J57" s="153">
        <f t="shared" si="105"/>
        <v>1286118.8658629917</v>
      </c>
    </row>
    <row r="58" spans="1:10" x14ac:dyDescent="0.15">
      <c r="A58" s="251" t="s">
        <v>33</v>
      </c>
      <c r="B58" s="157">
        <v>0.187</v>
      </c>
      <c r="C58" s="157">
        <v>0.22700000000000001</v>
      </c>
      <c r="D58" s="157">
        <v>0.17899999999999999</v>
      </c>
      <c r="E58" s="155">
        <v>0.10199999999999999</v>
      </c>
      <c r="F58" s="159">
        <f>AVERAGE(B58:E58)</f>
        <v>0.17374999999999999</v>
      </c>
      <c r="G58" s="159">
        <f>F58+0.5%</f>
        <v>0.17874999999999999</v>
      </c>
      <c r="H58" s="159">
        <f t="shared" ref="H58:J58" si="106">G58+0.5%</f>
        <v>0.18375</v>
      </c>
      <c r="I58" s="159">
        <f t="shared" si="106"/>
        <v>0.18875</v>
      </c>
      <c r="J58" s="159">
        <f t="shared" si="106"/>
        <v>0.19375000000000001</v>
      </c>
    </row>
    <row r="59" spans="1:10" x14ac:dyDescent="0.15">
      <c r="A59" s="251" t="s">
        <v>223</v>
      </c>
      <c r="B59" s="154">
        <v>7</v>
      </c>
      <c r="C59" s="154">
        <v>9</v>
      </c>
      <c r="D59" s="154">
        <v>19</v>
      </c>
      <c r="E59" s="154">
        <v>36</v>
      </c>
      <c r="F59" s="154">
        <f>E59+F60</f>
        <v>56</v>
      </c>
      <c r="G59" s="154">
        <f t="shared" ref="G59:J59" si="107">F59+G60</f>
        <v>71</v>
      </c>
      <c r="H59" s="154">
        <f t="shared" si="107"/>
        <v>86</v>
      </c>
      <c r="I59" s="154">
        <f t="shared" si="107"/>
        <v>101</v>
      </c>
      <c r="J59" s="154">
        <f t="shared" si="107"/>
        <v>111</v>
      </c>
    </row>
    <row r="60" spans="1:10" x14ac:dyDescent="0.15">
      <c r="A60" s="251" t="s">
        <v>234</v>
      </c>
      <c r="B60" s="152"/>
      <c r="C60" s="152">
        <f>C59-B59</f>
        <v>2</v>
      </c>
      <c r="D60" s="152">
        <f t="shared" ref="D60:E60" si="108">D59-C59</f>
        <v>10</v>
      </c>
      <c r="E60" s="152">
        <f t="shared" si="108"/>
        <v>17</v>
      </c>
      <c r="F60" s="299">
        <v>20</v>
      </c>
      <c r="G60" s="299">
        <v>15</v>
      </c>
      <c r="H60" s="299">
        <v>15</v>
      </c>
      <c r="I60" s="299">
        <v>15</v>
      </c>
      <c r="J60" s="299">
        <v>10</v>
      </c>
    </row>
    <row r="61" spans="1:10" x14ac:dyDescent="0.15">
      <c r="A61" s="251" t="s">
        <v>224</v>
      </c>
      <c r="B61" s="154">
        <f>216664/4</f>
        <v>54166</v>
      </c>
      <c r="C61" s="154">
        <f>259083/4</f>
        <v>64770.75</v>
      </c>
      <c r="D61" s="154">
        <f>563315/9</f>
        <v>62590.555555555555</v>
      </c>
      <c r="E61" s="154">
        <f>515371/9</f>
        <v>57263.444444444445</v>
      </c>
      <c r="F61" s="154">
        <f>E61*(1+F62)</f>
        <v>58901.184702012601</v>
      </c>
      <c r="G61" s="154">
        <f t="shared" ref="G61:J61" si="109">F61*(1+G62)</f>
        <v>53334.304440541899</v>
      </c>
      <c r="H61" s="154">
        <f t="shared" si="109"/>
        <v>57464.570440987904</v>
      </c>
      <c r="I61" s="154">
        <f t="shared" si="109"/>
        <v>62851.873919830519</v>
      </c>
      <c r="J61" s="154">
        <f t="shared" si="109"/>
        <v>61774.413224061987</v>
      </c>
    </row>
    <row r="62" spans="1:10" x14ac:dyDescent="0.15">
      <c r="A62" s="251" t="s">
        <v>236</v>
      </c>
      <c r="B62" s="154"/>
      <c r="C62" s="157">
        <f>C61/B61-1</f>
        <v>0.19578240962965698</v>
      </c>
      <c r="D62" s="157">
        <f t="shared" ref="D62:E62" si="110">D61/C61-1</f>
        <v>-3.3660169821168484E-2</v>
      </c>
      <c r="E62" s="157">
        <f t="shared" si="110"/>
        <v>-8.5110462174804447E-2</v>
      </c>
      <c r="F62" s="157">
        <f>((F65+1)/(E65+1))*(F66/E66)-1</f>
        <v>2.8600100351229285E-2</v>
      </c>
      <c r="G62" s="157">
        <f t="shared" ref="G62:J62" si="111">((G65+1)/(F65+1))*(G66/F66)-1</f>
        <v>-9.4512195121951192E-2</v>
      </c>
      <c r="H62" s="157">
        <f t="shared" si="111"/>
        <v>7.7441077441077422E-2</v>
      </c>
      <c r="I62" s="157">
        <f t="shared" si="111"/>
        <v>9.375E-2</v>
      </c>
      <c r="J62" s="157">
        <f t="shared" si="111"/>
        <v>-1.7142857142857237E-2</v>
      </c>
    </row>
    <row r="63" spans="1:10" x14ac:dyDescent="0.15">
      <c r="A63" s="251" t="s">
        <v>235</v>
      </c>
      <c r="B63" s="154"/>
      <c r="C63" s="154">
        <f>(C53-C61*(C59-C60))/C60</f>
        <v>65290.875</v>
      </c>
      <c r="D63" s="154">
        <f t="shared" ref="D63:E63" si="112">(D53-D61*(D59-D60))/D60</f>
        <v>36527.699999999997</v>
      </c>
      <c r="E63" s="154">
        <f t="shared" si="112"/>
        <v>39525.797385620914</v>
      </c>
      <c r="F63" s="154">
        <f>AVERAGE(D63:E63)</f>
        <v>38026.748692810455</v>
      </c>
      <c r="G63" s="154">
        <f>F63*(1+G62)</f>
        <v>34432.75720050215</v>
      </c>
      <c r="H63" s="154">
        <f t="shared" ref="H63:J63" si="113">G63*(1+H62)</f>
        <v>37099.267017376056</v>
      </c>
      <c r="I63" s="154">
        <f t="shared" si="113"/>
        <v>40577.323300255062</v>
      </c>
      <c r="J63" s="154">
        <f t="shared" si="113"/>
        <v>39881.712043679254</v>
      </c>
    </row>
    <row r="64" spans="1:10" x14ac:dyDescent="0.15">
      <c r="A64" s="251" t="s">
        <v>225</v>
      </c>
      <c r="B64" s="152">
        <f>B53/B59</f>
        <v>35734.857142857145</v>
      </c>
      <c r="C64" s="152">
        <f t="shared" ref="C64:E64" si="114">C53/C59</f>
        <v>64886.333333333336</v>
      </c>
      <c r="D64" s="152">
        <f t="shared" si="114"/>
        <v>48873.26315789474</v>
      </c>
      <c r="E64" s="152">
        <f t="shared" si="114"/>
        <v>48887.333333333336</v>
      </c>
      <c r="F64" s="152">
        <f>F53/F59</f>
        <v>51446.028984440411</v>
      </c>
      <c r="G64" s="152">
        <f t="shared" ref="G64:J64" si="115">G53/G59</f>
        <v>49341.019812364488</v>
      </c>
      <c r="H64" s="152">
        <f t="shared" si="115"/>
        <v>53912.48263454398</v>
      </c>
      <c r="I64" s="152">
        <f t="shared" si="115"/>
        <v>59543.772342665841</v>
      </c>
      <c r="J64" s="152">
        <f t="shared" si="115"/>
        <v>59802.097802405886</v>
      </c>
    </row>
    <row r="65" spans="1:10" x14ac:dyDescent="0.15">
      <c r="A65" s="251" t="s">
        <v>475</v>
      </c>
      <c r="B65" s="387">
        <v>4.4000000000000004</v>
      </c>
      <c r="C65" s="387">
        <v>4.8</v>
      </c>
      <c r="D65" s="387">
        <v>4.4000000000000004</v>
      </c>
      <c r="E65" s="387">
        <v>3.8</v>
      </c>
      <c r="F65" s="389">
        <v>3.8</v>
      </c>
      <c r="G65" s="389">
        <v>3.5</v>
      </c>
      <c r="H65" s="389">
        <v>4</v>
      </c>
      <c r="I65" s="389">
        <v>4</v>
      </c>
      <c r="J65" s="389">
        <v>3.8</v>
      </c>
    </row>
    <row r="66" spans="1:10" x14ac:dyDescent="0.15">
      <c r="A66" s="251" t="s">
        <v>474</v>
      </c>
      <c r="B66" s="388">
        <v>215.2</v>
      </c>
      <c r="C66" s="388">
        <v>215.4</v>
      </c>
      <c r="D66" s="388">
        <v>179.6</v>
      </c>
      <c r="E66" s="388">
        <v>199.3</v>
      </c>
      <c r="F66" s="299">
        <v>205</v>
      </c>
      <c r="G66" s="299">
        <v>198</v>
      </c>
      <c r="H66" s="299">
        <v>192</v>
      </c>
      <c r="I66" s="299">
        <v>210</v>
      </c>
      <c r="J66" s="299">
        <v>215</v>
      </c>
    </row>
    <row r="68" spans="1:10" x14ac:dyDescent="0.15">
      <c r="A68" s="296" t="s">
        <v>238</v>
      </c>
      <c r="B68" s="146"/>
      <c r="C68" s="146"/>
      <c r="D68" s="146"/>
      <c r="E68" s="146"/>
      <c r="F68" s="146"/>
      <c r="G68" s="146"/>
      <c r="H68" s="146"/>
      <c r="I68" s="146"/>
      <c r="J68" s="146"/>
    </row>
    <row r="69" spans="1:10" x14ac:dyDescent="0.15">
      <c r="A69" s="251" t="s">
        <v>227</v>
      </c>
      <c r="B69" s="154">
        <v>112</v>
      </c>
      <c r="C69" s="154">
        <v>146</v>
      </c>
      <c r="D69" s="154">
        <v>176</v>
      </c>
      <c r="E69" s="154">
        <v>273</v>
      </c>
      <c r="F69" s="154">
        <f>E72</f>
        <v>466</v>
      </c>
      <c r="G69" s="154">
        <f t="shared" ref="G69:J69" si="116">F72</f>
        <v>718</v>
      </c>
      <c r="H69" s="154">
        <f t="shared" si="116"/>
        <v>890</v>
      </c>
      <c r="I69" s="154">
        <f t="shared" si="116"/>
        <v>988</v>
      </c>
      <c r="J69" s="154">
        <f t="shared" si="116"/>
        <v>1049</v>
      </c>
    </row>
    <row r="70" spans="1:10" x14ac:dyDescent="0.15">
      <c r="A70" s="251" t="s">
        <v>228</v>
      </c>
      <c r="B70" s="152">
        <v>36</v>
      </c>
      <c r="C70" s="152">
        <v>32</v>
      </c>
      <c r="D70" s="152">
        <v>98</v>
      </c>
      <c r="E70" s="152">
        <v>200</v>
      </c>
      <c r="F70" s="299">
        <v>260</v>
      </c>
      <c r="G70" s="299">
        <v>180</v>
      </c>
      <c r="H70" s="299">
        <v>107</v>
      </c>
      <c r="I70" s="299">
        <v>70</v>
      </c>
      <c r="J70" s="299">
        <v>35</v>
      </c>
    </row>
    <row r="71" spans="1:10" x14ac:dyDescent="0.15">
      <c r="A71" s="251" t="s">
        <v>229</v>
      </c>
      <c r="B71" s="154">
        <v>2</v>
      </c>
      <c r="C71" s="154">
        <v>2</v>
      </c>
      <c r="D71" s="154">
        <v>1</v>
      </c>
      <c r="E71" s="154">
        <v>7</v>
      </c>
      <c r="F71" s="299">
        <v>8</v>
      </c>
      <c r="G71" s="299">
        <v>8</v>
      </c>
      <c r="H71" s="299">
        <v>9</v>
      </c>
      <c r="I71" s="299">
        <v>9</v>
      </c>
      <c r="J71" s="299">
        <v>9</v>
      </c>
    </row>
    <row r="72" spans="1:10" x14ac:dyDescent="0.15">
      <c r="A72" s="251" t="s">
        <v>230</v>
      </c>
      <c r="B72" s="152">
        <v>146</v>
      </c>
      <c r="C72" s="152">
        <v>176</v>
      </c>
      <c r="D72" s="152">
        <v>273</v>
      </c>
      <c r="E72" s="152">
        <v>466</v>
      </c>
      <c r="F72" s="152">
        <f>F69+F70-F71</f>
        <v>718</v>
      </c>
      <c r="G72" s="152">
        <f t="shared" ref="G72:J72" si="117">G69+G70-G71</f>
        <v>890</v>
      </c>
      <c r="H72" s="152">
        <f t="shared" si="117"/>
        <v>988</v>
      </c>
      <c r="I72" s="152">
        <f t="shared" si="117"/>
        <v>1049</v>
      </c>
      <c r="J72" s="152">
        <f t="shared" si="117"/>
        <v>1075</v>
      </c>
    </row>
    <row r="74" spans="1:10" x14ac:dyDescent="0.15">
      <c r="A74" s="377" t="s">
        <v>465</v>
      </c>
    </row>
    <row r="75" spans="1:10" x14ac:dyDescent="0.15">
      <c r="A75" s="381" t="s">
        <v>466</v>
      </c>
      <c r="B75" s="382">
        <v>19</v>
      </c>
      <c r="C75" s="382">
        <v>19</v>
      </c>
      <c r="D75" s="382">
        <v>19</v>
      </c>
      <c r="E75" s="382">
        <v>19</v>
      </c>
      <c r="F75" s="382">
        <v>19</v>
      </c>
      <c r="G75" s="382">
        <v>19</v>
      </c>
      <c r="H75" s="382">
        <v>19</v>
      </c>
      <c r="I75" s="382">
        <v>19</v>
      </c>
      <c r="J75" s="382">
        <v>19</v>
      </c>
    </row>
    <row r="76" spans="1:10" x14ac:dyDescent="0.15">
      <c r="A76" s="372" t="s">
        <v>464</v>
      </c>
      <c r="B76" s="375">
        <f t="shared" ref="B76:J76" si="118">B14</f>
        <v>50</v>
      </c>
      <c r="C76" s="375">
        <f t="shared" si="118"/>
        <v>55</v>
      </c>
      <c r="D76" s="375">
        <f t="shared" si="118"/>
        <v>65</v>
      </c>
      <c r="E76" s="375">
        <f t="shared" si="118"/>
        <v>106</v>
      </c>
      <c r="F76" s="375">
        <f t="shared" si="118"/>
        <v>156</v>
      </c>
      <c r="G76" s="375">
        <f t="shared" si="118"/>
        <v>198</v>
      </c>
      <c r="H76" s="375">
        <f t="shared" si="118"/>
        <v>218</v>
      </c>
      <c r="I76" s="375">
        <f t="shared" si="118"/>
        <v>236</v>
      </c>
      <c r="J76" s="375">
        <f t="shared" si="118"/>
        <v>242</v>
      </c>
    </row>
    <row r="77" spans="1:10" x14ac:dyDescent="0.15">
      <c r="A77" s="380" t="s">
        <v>469</v>
      </c>
      <c r="B77" s="384">
        <f>B76/B75</f>
        <v>2.6315789473684212</v>
      </c>
      <c r="C77" s="384">
        <f t="shared" ref="C77:J77" si="119">C76/C75</f>
        <v>2.8947368421052633</v>
      </c>
      <c r="D77" s="384">
        <f t="shared" si="119"/>
        <v>3.4210526315789473</v>
      </c>
      <c r="E77" s="384">
        <f t="shared" si="119"/>
        <v>5.5789473684210522</v>
      </c>
      <c r="F77" s="384">
        <f t="shared" si="119"/>
        <v>8.2105263157894743</v>
      </c>
      <c r="G77" s="384">
        <f t="shared" si="119"/>
        <v>10.421052631578947</v>
      </c>
      <c r="H77" s="384">
        <f t="shared" si="119"/>
        <v>11.473684210526315</v>
      </c>
      <c r="I77" s="384">
        <f t="shared" si="119"/>
        <v>12.421052631578947</v>
      </c>
      <c r="J77" s="384">
        <f t="shared" si="119"/>
        <v>12.736842105263158</v>
      </c>
    </row>
    <row r="78" spans="1:10" x14ac:dyDescent="0.15">
      <c r="A78" s="381" t="s">
        <v>467</v>
      </c>
      <c r="B78" s="383">
        <v>30</v>
      </c>
      <c r="C78" s="383">
        <v>30</v>
      </c>
      <c r="D78" s="383">
        <v>30</v>
      </c>
      <c r="E78" s="383">
        <v>30</v>
      </c>
      <c r="F78" s="383">
        <v>30</v>
      </c>
      <c r="G78" s="383">
        <v>30</v>
      </c>
      <c r="H78" s="383">
        <v>30</v>
      </c>
      <c r="I78" s="383">
        <v>30</v>
      </c>
      <c r="J78" s="383">
        <v>30</v>
      </c>
    </row>
    <row r="79" spans="1:10" x14ac:dyDescent="0.15">
      <c r="A79" s="373" t="s">
        <v>468</v>
      </c>
      <c r="B79" s="374">
        <f>B29</f>
        <v>71</v>
      </c>
      <c r="C79" s="374">
        <f t="shared" ref="C79:J79" si="120">C29</f>
        <v>83</v>
      </c>
      <c r="D79" s="374">
        <f t="shared" si="120"/>
        <v>120</v>
      </c>
      <c r="E79" s="374">
        <f t="shared" si="120"/>
        <v>207</v>
      </c>
      <c r="F79" s="374">
        <f t="shared" si="120"/>
        <v>309</v>
      </c>
      <c r="G79" s="374">
        <f t="shared" si="120"/>
        <v>357</v>
      </c>
      <c r="H79" s="374">
        <f t="shared" si="120"/>
        <v>389</v>
      </c>
      <c r="I79" s="374">
        <f t="shared" si="120"/>
        <v>401</v>
      </c>
      <c r="J79" s="374">
        <f t="shared" si="120"/>
        <v>404</v>
      </c>
    </row>
    <row r="80" spans="1:10" x14ac:dyDescent="0.15">
      <c r="A80" s="376" t="s">
        <v>470</v>
      </c>
      <c r="B80" s="385">
        <f>B79/B78</f>
        <v>2.3666666666666667</v>
      </c>
      <c r="C80" s="385">
        <f t="shared" ref="C80:J80" si="121">C79/C78</f>
        <v>2.7666666666666666</v>
      </c>
      <c r="D80" s="385">
        <f t="shared" si="121"/>
        <v>4</v>
      </c>
      <c r="E80" s="385">
        <f t="shared" si="121"/>
        <v>6.9</v>
      </c>
      <c r="F80" s="385">
        <f t="shared" si="121"/>
        <v>10.3</v>
      </c>
      <c r="G80" s="385">
        <f t="shared" si="121"/>
        <v>11.9</v>
      </c>
      <c r="H80" s="385">
        <f t="shared" si="121"/>
        <v>12.966666666666667</v>
      </c>
      <c r="I80" s="385">
        <f t="shared" si="121"/>
        <v>13.366666666666667</v>
      </c>
      <c r="J80" s="385">
        <f t="shared" si="121"/>
        <v>13.466666666666667</v>
      </c>
    </row>
    <row r="81" spans="1:10" x14ac:dyDescent="0.15">
      <c r="A81" s="378" t="s">
        <v>471</v>
      </c>
      <c r="B81" s="379">
        <v>288</v>
      </c>
      <c r="C81" s="379">
        <v>288</v>
      </c>
      <c r="D81" s="379">
        <v>288</v>
      </c>
      <c r="E81" s="379">
        <v>288</v>
      </c>
      <c r="F81" s="379">
        <v>288</v>
      </c>
      <c r="G81" s="379">
        <v>288</v>
      </c>
      <c r="H81" s="379">
        <v>288</v>
      </c>
      <c r="I81" s="379">
        <v>288</v>
      </c>
      <c r="J81" s="379">
        <v>288</v>
      </c>
    </row>
    <row r="82" spans="1:10" x14ac:dyDescent="0.15">
      <c r="A82" s="251" t="s">
        <v>472</v>
      </c>
      <c r="B82" s="375">
        <f>B44</f>
        <v>18</v>
      </c>
      <c r="C82" s="375">
        <f t="shared" ref="C82:J82" si="122">C44</f>
        <v>29</v>
      </c>
      <c r="D82" s="375">
        <f t="shared" si="122"/>
        <v>69</v>
      </c>
      <c r="E82" s="375">
        <f t="shared" si="122"/>
        <v>117</v>
      </c>
      <c r="F82" s="375">
        <f t="shared" si="122"/>
        <v>197</v>
      </c>
      <c r="G82" s="375">
        <f t="shared" si="122"/>
        <v>264</v>
      </c>
      <c r="H82" s="375">
        <f t="shared" si="122"/>
        <v>295</v>
      </c>
      <c r="I82" s="375">
        <f t="shared" si="122"/>
        <v>311</v>
      </c>
      <c r="J82" s="375">
        <f t="shared" si="122"/>
        <v>318</v>
      </c>
    </row>
    <row r="83" spans="1:10" x14ac:dyDescent="0.15">
      <c r="A83" s="376" t="s">
        <v>473</v>
      </c>
      <c r="B83" s="386">
        <f>B82/B81</f>
        <v>6.25E-2</v>
      </c>
      <c r="C83" s="386">
        <f t="shared" ref="C83:J83" si="123">C82/C81</f>
        <v>0.10069444444444445</v>
      </c>
      <c r="D83" s="386">
        <f t="shared" si="123"/>
        <v>0.23958333333333334</v>
      </c>
      <c r="E83" s="386">
        <f t="shared" si="123"/>
        <v>0.40625</v>
      </c>
      <c r="F83" s="386">
        <f t="shared" si="123"/>
        <v>0.68402777777777779</v>
      </c>
      <c r="G83" s="386">
        <f t="shared" si="123"/>
        <v>0.91666666666666663</v>
      </c>
      <c r="H83" s="386">
        <f t="shared" si="123"/>
        <v>1.0243055555555556</v>
      </c>
      <c r="I83" s="386">
        <f t="shared" si="123"/>
        <v>1.0798611111111112</v>
      </c>
      <c r="J83" s="386">
        <f t="shared" si="123"/>
        <v>1.1041666666666667</v>
      </c>
    </row>
    <row r="85" spans="1:10" x14ac:dyDescent="0.15">
      <c r="A85" s="302" t="s">
        <v>242</v>
      </c>
    </row>
    <row r="86" spans="1:10" x14ac:dyDescent="0.15">
      <c r="A86" s="251" t="s">
        <v>239</v>
      </c>
      <c r="B86" s="150">
        <f t="shared" ref="B86:J86" si="124">B10</f>
        <v>0.40245353139186774</v>
      </c>
      <c r="C86" s="150">
        <f t="shared" si="124"/>
        <v>0.34757455666121817</v>
      </c>
      <c r="D86" s="150">
        <f t="shared" si="124"/>
        <v>0.27819645638830631</v>
      </c>
      <c r="E86" s="150">
        <f t="shared" si="124"/>
        <v>0.23782345557513362</v>
      </c>
      <c r="F86" s="150">
        <f t="shared" si="124"/>
        <v>0.22864661232985672</v>
      </c>
      <c r="G86" s="150">
        <f t="shared" si="124"/>
        <v>0.22743950810387992</v>
      </c>
      <c r="H86" s="150">
        <f t="shared" si="124"/>
        <v>0.23043243254156326</v>
      </c>
      <c r="I86" s="150">
        <f t="shared" si="124"/>
        <v>0.23548889665167971</v>
      </c>
      <c r="J86" s="150">
        <f t="shared" si="124"/>
        <v>0.25630393151057018</v>
      </c>
    </row>
    <row r="87" spans="1:10" x14ac:dyDescent="0.15">
      <c r="A87" s="251" t="s">
        <v>240</v>
      </c>
      <c r="B87" s="150">
        <f>B25</f>
        <v>0.50021227505705546</v>
      </c>
      <c r="C87" s="150">
        <f t="shared" ref="C87:J87" si="125">C25</f>
        <v>0.48367211488781697</v>
      </c>
      <c r="D87" s="150">
        <f t="shared" si="125"/>
        <v>0.49176435085647779</v>
      </c>
      <c r="E87" s="150">
        <f t="shared" si="125"/>
        <v>0.45935523981825788</v>
      </c>
      <c r="F87" s="150">
        <f t="shared" si="125"/>
        <v>0.46496921972808103</v>
      </c>
      <c r="G87" s="150">
        <f t="shared" si="125"/>
        <v>0.43284262382889727</v>
      </c>
      <c r="H87" s="150">
        <f t="shared" si="125"/>
        <v>0.39274943525751732</v>
      </c>
      <c r="I87" s="150">
        <f t="shared" si="125"/>
        <v>0.39085585648318261</v>
      </c>
      <c r="J87" s="150">
        <f t="shared" si="125"/>
        <v>0.37584671789807206</v>
      </c>
    </row>
    <row r="88" spans="1:10" x14ac:dyDescent="0.15">
      <c r="A88" s="251" t="s">
        <v>241</v>
      </c>
      <c r="B88" s="150">
        <f>B40</f>
        <v>5.3881385145123528E-2</v>
      </c>
      <c r="C88" s="150">
        <f t="shared" ref="C88:J88" si="126">C40</f>
        <v>9.3958184281488777E-2</v>
      </c>
      <c r="D88" s="150">
        <f t="shared" si="126"/>
        <v>0.14274228953753676</v>
      </c>
      <c r="E88" s="150">
        <f t="shared" si="126"/>
        <v>0.19910667035965374</v>
      </c>
      <c r="F88" s="150">
        <f t="shared" si="126"/>
        <v>0.19976624012954364</v>
      </c>
      <c r="G88" s="150">
        <f t="shared" si="126"/>
        <v>0.23145349486045505</v>
      </c>
      <c r="H88" s="150">
        <f t="shared" si="126"/>
        <v>0.25867342896634354</v>
      </c>
      <c r="I88" s="150">
        <f t="shared" si="126"/>
        <v>0.239330415827331</v>
      </c>
      <c r="J88" s="150">
        <f t="shared" si="126"/>
        <v>0.22211581126982957</v>
      </c>
    </row>
    <row r="89" spans="1:10" x14ac:dyDescent="0.15">
      <c r="A89" s="251" t="s">
        <v>243</v>
      </c>
      <c r="B89" s="150">
        <f>B55</f>
        <v>4.3452808405953287E-2</v>
      </c>
      <c r="C89" s="150">
        <f t="shared" ref="C89:J89" si="127">C55</f>
        <v>7.479514416947608E-2</v>
      </c>
      <c r="D89" s="150">
        <f t="shared" si="127"/>
        <v>8.7296903217679134E-2</v>
      </c>
      <c r="E89" s="150">
        <f t="shared" si="127"/>
        <v>0.10371463424695476</v>
      </c>
      <c r="F89" s="150">
        <f t="shared" si="127"/>
        <v>0.10661792781251848</v>
      </c>
      <c r="G89" s="150">
        <f t="shared" si="127"/>
        <v>0.10826437320676767</v>
      </c>
      <c r="H89" s="150">
        <f t="shared" si="127"/>
        <v>0.11814470323457582</v>
      </c>
      <c r="I89" s="150">
        <f t="shared" si="127"/>
        <v>0.13432483103780671</v>
      </c>
      <c r="J89" s="150">
        <f t="shared" si="127"/>
        <v>0.14573353932152808</v>
      </c>
    </row>
    <row r="90" spans="1:10" x14ac:dyDescent="0.15">
      <c r="A90" s="251" t="s">
        <v>34</v>
      </c>
      <c r="B90" s="150">
        <v>0</v>
      </c>
      <c r="C90" s="150">
        <v>0</v>
      </c>
      <c r="D90" s="150">
        <v>0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</row>
    <row r="91" spans="1:10" x14ac:dyDescent="0.15">
      <c r="A91" s="258" t="s">
        <v>35</v>
      </c>
      <c r="B91" s="150">
        <f t="shared" ref="B91:J91" si="128">SUM(B86:B90)</f>
        <v>1</v>
      </c>
      <c r="C91" s="150">
        <f t="shared" si="128"/>
        <v>1</v>
      </c>
      <c r="D91" s="150">
        <f t="shared" si="128"/>
        <v>1</v>
      </c>
      <c r="E91" s="150">
        <f t="shared" si="128"/>
        <v>1</v>
      </c>
      <c r="F91" s="150">
        <f t="shared" si="128"/>
        <v>0.99999999999999989</v>
      </c>
      <c r="G91" s="150">
        <f t="shared" si="128"/>
        <v>0.99999999999999989</v>
      </c>
      <c r="H91" s="150">
        <f t="shared" si="128"/>
        <v>0.99999999999999989</v>
      </c>
      <c r="I91" s="150">
        <f t="shared" si="128"/>
        <v>1</v>
      </c>
      <c r="J91" s="150">
        <f t="shared" si="128"/>
        <v>0.99999999999999989</v>
      </c>
    </row>
    <row r="93" spans="1:10" hidden="1" x14ac:dyDescent="0.15">
      <c r="A93" s="151" t="s">
        <v>36</v>
      </c>
      <c r="B93" s="147"/>
      <c r="C93" s="147"/>
      <c r="D93" s="147"/>
      <c r="E93" s="147"/>
    </row>
    <row r="94" spans="1:10" hidden="1" x14ac:dyDescent="0.15">
      <c r="A94" s="151" t="s">
        <v>37</v>
      </c>
      <c r="B94" s="150"/>
      <c r="C94" s="150"/>
      <c r="D94" s="150"/>
      <c r="E94" s="150"/>
    </row>
    <row r="95" spans="1:10" hidden="1" x14ac:dyDescent="0.15">
      <c r="A95" s="151" t="s">
        <v>38</v>
      </c>
      <c r="B95" s="150"/>
      <c r="C95" s="150"/>
      <c r="D95" s="150"/>
      <c r="E95" s="150"/>
    </row>
    <row r="96" spans="1:10" hidden="1" x14ac:dyDescent="0.15">
      <c r="A96" s="151" t="s">
        <v>39</v>
      </c>
      <c r="B96" s="150"/>
      <c r="C96" s="150"/>
      <c r="D96" s="150"/>
      <c r="E96" s="150"/>
    </row>
    <row r="97" spans="1:5" hidden="1" x14ac:dyDescent="0.15">
      <c r="A97" s="151" t="s">
        <v>40</v>
      </c>
      <c r="B97" s="147"/>
      <c r="C97" s="147"/>
      <c r="D97" s="147"/>
      <c r="E97" s="147"/>
    </row>
    <row r="98" spans="1:5" hidden="1" x14ac:dyDescent="0.15">
      <c r="A98" s="151" t="s">
        <v>41</v>
      </c>
      <c r="B98" s="150"/>
      <c r="C98" s="150"/>
      <c r="D98" s="150"/>
      <c r="E98" s="150"/>
    </row>
  </sheetData>
  <phoneticPr fontId="37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workbookViewId="0">
      <pane xSplit="1" ySplit="2" topLeftCell="B3" activePane="bottomRight" state="frozen"/>
      <selection pane="topRight"/>
      <selection pane="bottomLeft"/>
      <selection pane="bottomRight" activeCell="L18" sqref="L18"/>
    </sheetView>
  </sheetViews>
  <sheetFormatPr defaultColWidth="8.875" defaultRowHeight="13.5" x14ac:dyDescent="0.15"/>
  <cols>
    <col min="1" max="1" width="28" style="145" customWidth="1"/>
    <col min="2" max="5" width="12.625" style="145" customWidth="1"/>
    <col min="6" max="10" width="12.625" style="316" customWidth="1"/>
    <col min="11" max="16384" width="8.875" style="145"/>
  </cols>
  <sheetData>
    <row r="1" spans="1:10" s="255" customFormat="1" x14ac:dyDescent="0.15">
      <c r="A1" s="303" t="s">
        <v>244</v>
      </c>
      <c r="B1" s="191"/>
      <c r="C1" s="192"/>
      <c r="D1" s="192"/>
      <c r="E1" s="192"/>
      <c r="F1" s="307"/>
      <c r="G1" s="307"/>
      <c r="H1" s="307"/>
      <c r="I1" s="307"/>
      <c r="J1" s="307"/>
    </row>
    <row r="2" spans="1:10" x14ac:dyDescent="0.15">
      <c r="A2" s="251"/>
      <c r="B2" s="304" t="s">
        <v>265</v>
      </c>
      <c r="C2" s="304" t="s">
        <v>20</v>
      </c>
      <c r="D2" s="304" t="s">
        <v>21</v>
      </c>
      <c r="E2" s="304" t="s">
        <v>22</v>
      </c>
      <c r="F2" s="308" t="s">
        <v>23</v>
      </c>
      <c r="G2" s="308" t="s">
        <v>24</v>
      </c>
      <c r="H2" s="308" t="s">
        <v>25</v>
      </c>
      <c r="I2" s="308" t="s">
        <v>26</v>
      </c>
      <c r="J2" s="308" t="s">
        <v>27</v>
      </c>
    </row>
    <row r="3" spans="1:10" hidden="1" x14ac:dyDescent="0.15">
      <c r="A3" s="251" t="s">
        <v>46</v>
      </c>
      <c r="B3" s="251" t="s">
        <v>47</v>
      </c>
      <c r="C3" s="251" t="s">
        <v>47</v>
      </c>
      <c r="D3" s="251" t="s">
        <v>47</v>
      </c>
      <c r="E3" s="251" t="s">
        <v>47</v>
      </c>
      <c r="F3" s="309" t="s">
        <v>47</v>
      </c>
      <c r="G3" s="309" t="s">
        <v>47</v>
      </c>
      <c r="H3" s="309" t="s">
        <v>47</v>
      </c>
      <c r="I3" s="309" t="s">
        <v>47</v>
      </c>
      <c r="J3" s="309" t="s">
        <v>47</v>
      </c>
    </row>
    <row r="4" spans="1:10" hidden="1" x14ac:dyDescent="0.15">
      <c r="A4" s="251" t="s">
        <v>48</v>
      </c>
      <c r="B4" s="251" t="s">
        <v>49</v>
      </c>
      <c r="C4" s="251" t="s">
        <v>49</v>
      </c>
      <c r="D4" s="251" t="s">
        <v>49</v>
      </c>
      <c r="E4" s="251" t="s">
        <v>49</v>
      </c>
      <c r="F4" s="309" t="s">
        <v>49</v>
      </c>
      <c r="G4" s="309" t="s">
        <v>49</v>
      </c>
      <c r="H4" s="309" t="s">
        <v>49</v>
      </c>
      <c r="I4" s="309" t="s">
        <v>49</v>
      </c>
      <c r="J4" s="309" t="s">
        <v>49</v>
      </c>
    </row>
    <row r="5" spans="1:10" x14ac:dyDescent="0.15">
      <c r="A5" s="296" t="s">
        <v>231</v>
      </c>
      <c r="B5" s="152">
        <v>5756682</v>
      </c>
      <c r="C5" s="153">
        <v>7807686</v>
      </c>
      <c r="D5" s="153">
        <v>10637170</v>
      </c>
      <c r="E5" s="153">
        <v>16969100</v>
      </c>
      <c r="F5" s="310">
        <f>业务模型!F2</f>
        <v>27021512.068727285</v>
      </c>
      <c r="G5" s="310">
        <f>业务模型!G2</f>
        <v>32357942.903223593</v>
      </c>
      <c r="H5" s="310">
        <f>业务模型!H2</f>
        <v>39244023.46980451</v>
      </c>
      <c r="I5" s="310">
        <f>业务模型!I2</f>
        <v>44771476.428781718</v>
      </c>
      <c r="J5" s="310">
        <f>业务模型!J2</f>
        <v>45549108.921466149</v>
      </c>
    </row>
    <row r="6" spans="1:10" x14ac:dyDescent="0.15">
      <c r="A6" s="251" t="s">
        <v>245</v>
      </c>
      <c r="B6" s="154">
        <v>35663</v>
      </c>
      <c r="C6" s="154">
        <v>62094</v>
      </c>
      <c r="D6" s="154">
        <v>90753</v>
      </c>
      <c r="E6" s="154">
        <v>104318</v>
      </c>
      <c r="F6" s="311">
        <f>E6*(1+业务模型!F3)</f>
        <v>166115.47436136819</v>
      </c>
      <c r="G6" s="311">
        <f>F6*(1+业务模型!G3)</f>
        <v>198921.32686933776</v>
      </c>
      <c r="H6" s="311">
        <f>G6*(1+业务模型!H3)</f>
        <v>241253.6929078777</v>
      </c>
      <c r="I6" s="311">
        <f>H6*(1+业务模型!I3)</f>
        <v>275233.85907901137</v>
      </c>
      <c r="J6" s="311">
        <f>I6*(1+业务模型!J3)</f>
        <v>280014.3758048162</v>
      </c>
    </row>
    <row r="7" spans="1:10" x14ac:dyDescent="0.15">
      <c r="A7" s="251" t="s">
        <v>246</v>
      </c>
      <c r="B7" s="152">
        <v>-2599740</v>
      </c>
      <c r="C7" s="153">
        <v>-3179281</v>
      </c>
      <c r="D7" s="153">
        <v>-4313230</v>
      </c>
      <c r="E7" s="153">
        <v>-6935033</v>
      </c>
      <c r="F7" s="152">
        <f>-F5*F34</f>
        <v>-11311926.475647787</v>
      </c>
      <c r="G7" s="152">
        <f t="shared" ref="G7:J7" si="0">-G5*G34</f>
        <v>-13259159.94446636</v>
      </c>
      <c r="H7" s="152">
        <f t="shared" si="0"/>
        <v>-16178061.757695431</v>
      </c>
      <c r="I7" s="152">
        <f t="shared" si="0"/>
        <v>-18530211.518405031</v>
      </c>
      <c r="J7" s="152">
        <f t="shared" si="0"/>
        <v>-18921837.543034852</v>
      </c>
    </row>
    <row r="8" spans="1:10" x14ac:dyDescent="0.15">
      <c r="A8" s="251" t="s">
        <v>247</v>
      </c>
      <c r="B8" s="154">
        <v>-1571877</v>
      </c>
      <c r="C8" s="154">
        <v>-2044292</v>
      </c>
      <c r="D8" s="154">
        <v>-3119699</v>
      </c>
      <c r="E8" s="154">
        <v>-5016321</v>
      </c>
      <c r="F8" s="154">
        <f>-F5*F35</f>
        <v>-7987965.0919677606</v>
      </c>
      <c r="G8" s="154">
        <f t="shared" ref="G8:J8" si="1">-G5*G35</f>
        <v>-9662568.0801573899</v>
      </c>
      <c r="H8" s="154">
        <f t="shared" si="1"/>
        <v>-11522635.115518816</v>
      </c>
      <c r="I8" s="154">
        <f t="shared" si="1"/>
        <v>-12921720.997933259</v>
      </c>
      <c r="J8" s="154">
        <f t="shared" si="1"/>
        <v>-12918411.878275629</v>
      </c>
    </row>
    <row r="9" spans="1:10" x14ac:dyDescent="0.15">
      <c r="A9" s="251" t="s">
        <v>248</v>
      </c>
      <c r="B9" s="152">
        <v>-269482</v>
      </c>
      <c r="C9" s="153">
        <v>-298367</v>
      </c>
      <c r="D9" s="153">
        <v>-414862</v>
      </c>
      <c r="E9" s="153">
        <v>-684910</v>
      </c>
      <c r="F9" s="152">
        <f>-F5*F36</f>
        <v>-1059043.9815900864</v>
      </c>
      <c r="G9" s="152">
        <f t="shared" ref="G9:J9" si="2">-G5*G36</f>
        <v>-1365266.5412838284</v>
      </c>
      <c r="H9" s="152">
        <f t="shared" si="2"/>
        <v>-1655808.3543482532</v>
      </c>
      <c r="I9" s="152">
        <f t="shared" si="2"/>
        <v>-1889026.1026452277</v>
      </c>
      <c r="J9" s="152">
        <f t="shared" si="2"/>
        <v>-1921836.4585708955</v>
      </c>
    </row>
    <row r="10" spans="1:10" x14ac:dyDescent="0.15">
      <c r="A10" s="251" t="s">
        <v>249</v>
      </c>
      <c r="B10" s="154">
        <v>-221483</v>
      </c>
      <c r="C10" s="154">
        <v>-262985</v>
      </c>
      <c r="D10" s="154">
        <v>-348577</v>
      </c>
      <c r="E10" s="154">
        <v>-594772</v>
      </c>
      <c r="F10" s="154">
        <f>-F5*F37</f>
        <v>-947112.03164228296</v>
      </c>
      <c r="G10" s="154">
        <f t="shared" ref="G10:J10" si="3">-G5*G37</f>
        <v>-1134155.5189394902</v>
      </c>
      <c r="H10" s="154">
        <f t="shared" si="3"/>
        <v>-1375514.690065034</v>
      </c>
      <c r="I10" s="154">
        <f t="shared" si="3"/>
        <v>-1569253.5596171487</v>
      </c>
      <c r="J10" s="154">
        <f t="shared" si="3"/>
        <v>-1596509.8096798453</v>
      </c>
    </row>
    <row r="11" spans="1:10" x14ac:dyDescent="0.15">
      <c r="A11" s="251" t="s">
        <v>250</v>
      </c>
      <c r="B11" s="152">
        <v>-239179</v>
      </c>
      <c r="C11" s="153">
        <v>-285918</v>
      </c>
      <c r="D11" s="153">
        <v>-359839</v>
      </c>
      <c r="E11" s="153">
        <v>-689321</v>
      </c>
      <c r="F11" s="152">
        <f>-F5*F38</f>
        <v>-1097671.398054532</v>
      </c>
      <c r="G11" s="152">
        <f t="shared" ref="G11:J11" si="4">-G5*G38</f>
        <v>-1314448.5894946102</v>
      </c>
      <c r="H11" s="152">
        <f t="shared" si="4"/>
        <v>-1594175.8550676885</v>
      </c>
      <c r="I11" s="152">
        <f t="shared" si="4"/>
        <v>-1818712.7722368448</v>
      </c>
      <c r="J11" s="152">
        <f t="shared" si="4"/>
        <v>-1850301.8610800789</v>
      </c>
    </row>
    <row r="12" spans="1:10" x14ac:dyDescent="0.15">
      <c r="A12" s="251" t="s">
        <v>266</v>
      </c>
      <c r="B12" s="154">
        <v>-236049</v>
      </c>
      <c r="C12" s="154">
        <v>-281395</v>
      </c>
      <c r="D12" s="154">
        <v>-355377</v>
      </c>
      <c r="E12" s="154">
        <v>-679590</v>
      </c>
      <c r="F12" s="154">
        <f>F11*E12/E11</f>
        <v>-1082175.8011200579</v>
      </c>
      <c r="G12" s="154">
        <f t="shared" ref="G12:J12" si="5">G11*F12/F11</f>
        <v>-1295892.7944087619</v>
      </c>
      <c r="H12" s="154">
        <f t="shared" si="5"/>
        <v>-1571671.2088351443</v>
      </c>
      <c r="I12" s="154">
        <f t="shared" si="5"/>
        <v>-1793038.3854320955</v>
      </c>
      <c r="J12" s="154">
        <f t="shared" si="5"/>
        <v>-1824181.5377326543</v>
      </c>
    </row>
    <row r="13" spans="1:10" x14ac:dyDescent="0.15">
      <c r="A13" s="251" t="s">
        <v>267</v>
      </c>
      <c r="B13" s="152">
        <v>-3130</v>
      </c>
      <c r="C13" s="153">
        <v>-4523</v>
      </c>
      <c r="D13" s="153">
        <v>-4462</v>
      </c>
      <c r="E13" s="153">
        <v>-9731</v>
      </c>
      <c r="F13" s="152">
        <f>F11-F12</f>
        <v>-15495.596934474073</v>
      </c>
      <c r="G13" s="152">
        <f t="shared" ref="G13:J13" si="6">G11-G12</f>
        <v>-18555.795085848309</v>
      </c>
      <c r="H13" s="152">
        <f t="shared" si="6"/>
        <v>-22504.646232544212</v>
      </c>
      <c r="I13" s="152">
        <f t="shared" si="6"/>
        <v>-25674.386804749258</v>
      </c>
      <c r="J13" s="152">
        <f t="shared" si="6"/>
        <v>-26120.323347424623</v>
      </c>
    </row>
    <row r="14" spans="1:10" x14ac:dyDescent="0.15">
      <c r="A14" s="251" t="s">
        <v>268</v>
      </c>
      <c r="B14" s="154"/>
      <c r="C14" s="154"/>
      <c r="D14" s="154"/>
      <c r="E14" s="154"/>
      <c r="F14" s="154"/>
      <c r="G14" s="154"/>
      <c r="H14" s="154"/>
      <c r="I14" s="154"/>
      <c r="J14" s="154"/>
    </row>
    <row r="15" spans="1:10" x14ac:dyDescent="0.15">
      <c r="A15" s="251" t="s">
        <v>251</v>
      </c>
      <c r="B15" s="152">
        <v>-67214</v>
      </c>
      <c r="C15" s="153">
        <v>-84483</v>
      </c>
      <c r="D15" s="153">
        <v>-119598</v>
      </c>
      <c r="E15" s="153">
        <v>-159470</v>
      </c>
      <c r="F15" s="312">
        <f>E15*(1+业务模型!F3-10%)</f>
        <v>-237992.25014290327</v>
      </c>
      <c r="G15" s="312">
        <f>F15*(1+业务模型!G3-10%)</f>
        <v>-261193.69551313913</v>
      </c>
      <c r="H15" s="312">
        <f>G15*(1+业务模型!H3-10%)</f>
        <v>-290658.84924767655</v>
      </c>
      <c r="I15" s="312">
        <f>H15*(1+业务模型!I3-10%)</f>
        <v>-302531.7614766499</v>
      </c>
      <c r="J15" s="312">
        <f>I15*(1+业务模型!J3-10%)</f>
        <v>-277533.23732080666</v>
      </c>
    </row>
    <row r="16" spans="1:10" x14ac:dyDescent="0.15">
      <c r="A16" s="251" t="s">
        <v>252</v>
      </c>
      <c r="B16" s="154"/>
      <c r="C16" s="154"/>
      <c r="D16" s="154"/>
      <c r="E16" s="154">
        <v>-85540</v>
      </c>
      <c r="F16" s="311">
        <v>0</v>
      </c>
      <c r="G16" s="311">
        <v>0</v>
      </c>
      <c r="H16" s="311">
        <v>0</v>
      </c>
      <c r="I16" s="311">
        <v>0</v>
      </c>
      <c r="J16" s="311">
        <v>0</v>
      </c>
    </row>
    <row r="17" spans="1:10" x14ac:dyDescent="0.15">
      <c r="A17" s="251" t="s">
        <v>253</v>
      </c>
      <c r="B17" s="152">
        <v>-268113</v>
      </c>
      <c r="C17" s="153">
        <v>-372422</v>
      </c>
      <c r="D17" s="153">
        <v>-444998</v>
      </c>
      <c r="E17" s="153">
        <v>-660533</v>
      </c>
      <c r="F17" s="312">
        <f>E17*(1+业务模型!F3-10%)</f>
        <v>-985776.22727561498</v>
      </c>
      <c r="G17" s="312">
        <f>F17*(1+业务模型!G3-10%)</f>
        <v>-1081877.815754564</v>
      </c>
      <c r="H17" s="312">
        <f>G17*(1+业务模型!H3-10%)</f>
        <v>-1203924.0087170976</v>
      </c>
      <c r="I17" s="312">
        <f>H17*(1+业务模型!I3-10%)</f>
        <v>-1253102.2261457075</v>
      </c>
      <c r="J17" s="312">
        <f>I17*(1+业务模型!J3-10%)</f>
        <v>-1149557.0442542445</v>
      </c>
    </row>
    <row r="18" spans="1:10" x14ac:dyDescent="0.15">
      <c r="A18" s="251" t="s">
        <v>254</v>
      </c>
      <c r="B18" s="154"/>
      <c r="C18" s="154"/>
      <c r="D18" s="154">
        <v>482</v>
      </c>
      <c r="E18" s="154">
        <v>30049</v>
      </c>
      <c r="F18" s="311">
        <f>AVERAGE(D18:E18)</f>
        <v>15265.5</v>
      </c>
      <c r="G18" s="311">
        <f>F18</f>
        <v>15265.5</v>
      </c>
      <c r="H18" s="311">
        <f t="shared" ref="H18:J18" si="7">G18</f>
        <v>15265.5</v>
      </c>
      <c r="I18" s="311">
        <f t="shared" si="7"/>
        <v>15265.5</v>
      </c>
      <c r="J18" s="311">
        <f t="shared" si="7"/>
        <v>15265.5</v>
      </c>
    </row>
    <row r="19" spans="1:10" x14ac:dyDescent="0.15">
      <c r="A19" s="251" t="s">
        <v>255</v>
      </c>
      <c r="B19" s="152"/>
      <c r="C19" s="153"/>
      <c r="D19" s="153"/>
      <c r="E19" s="153">
        <v>-2363</v>
      </c>
      <c r="F19" s="312">
        <v>0</v>
      </c>
      <c r="G19" s="312">
        <v>0</v>
      </c>
      <c r="H19" s="312">
        <v>0</v>
      </c>
      <c r="I19" s="312">
        <v>0</v>
      </c>
      <c r="J19" s="312">
        <v>0</v>
      </c>
    </row>
    <row r="20" spans="1:10" x14ac:dyDescent="0.15">
      <c r="A20" s="251" t="s">
        <v>256</v>
      </c>
      <c r="B20" s="154">
        <v>8072</v>
      </c>
      <c r="C20" s="154">
        <v>12012</v>
      </c>
      <c r="D20" s="154">
        <v>26062</v>
      </c>
      <c r="E20" s="154">
        <v>17857</v>
      </c>
      <c r="F20" s="311">
        <f>AVERAGE(C20:E20)</f>
        <v>18643.666666666668</v>
      </c>
      <c r="G20" s="311">
        <f>F20</f>
        <v>18643.666666666668</v>
      </c>
      <c r="H20" s="311">
        <f t="shared" ref="H20:J20" si="8">G20</f>
        <v>18643.666666666668</v>
      </c>
      <c r="I20" s="311">
        <f t="shared" si="8"/>
        <v>18643.666666666668</v>
      </c>
      <c r="J20" s="311">
        <f t="shared" si="8"/>
        <v>18643.666666666668</v>
      </c>
    </row>
    <row r="21" spans="1:10" x14ac:dyDescent="0.15">
      <c r="A21" s="251" t="s">
        <v>144</v>
      </c>
      <c r="B21" s="152">
        <v>-3221</v>
      </c>
      <c r="C21" s="153">
        <v>-8167</v>
      </c>
      <c r="D21" s="153">
        <v>-8614</v>
      </c>
      <c r="E21" s="153">
        <v>-31231</v>
      </c>
      <c r="F21" s="312">
        <f>-F5*F39</f>
        <v>-49732.09206253849</v>
      </c>
      <c r="G21" s="312">
        <f t="shared" ref="G21:J21" si="9">-G5*G39</f>
        <v>-59553.595347459566</v>
      </c>
      <c r="H21" s="312">
        <f t="shared" si="9"/>
        <v>-72227.17156392883</v>
      </c>
      <c r="I21" s="312">
        <f t="shared" si="9"/>
        <v>-82400.243993333876</v>
      </c>
      <c r="J21" s="312">
        <f t="shared" si="9"/>
        <v>-83831.447791945917</v>
      </c>
    </row>
    <row r="22" spans="1:10" x14ac:dyDescent="0.15">
      <c r="A22" s="251" t="s">
        <v>257</v>
      </c>
      <c r="B22" s="154"/>
      <c r="C22" s="154"/>
      <c r="D22" s="154"/>
      <c r="E22" s="154"/>
      <c r="F22" s="313"/>
      <c r="G22" s="313"/>
      <c r="H22" s="313"/>
      <c r="I22" s="313"/>
      <c r="J22" s="313"/>
    </row>
    <row r="23" spans="1:10" x14ac:dyDescent="0.15">
      <c r="A23" s="296" t="s">
        <v>258</v>
      </c>
      <c r="B23" s="152">
        <v>560108</v>
      </c>
      <c r="C23" s="153">
        <v>1345877</v>
      </c>
      <c r="D23" s="153">
        <v>1625050</v>
      </c>
      <c r="E23" s="153">
        <v>2261830</v>
      </c>
      <c r="F23" s="310">
        <f>SUM(F5:F22)-F12-F13-F14</f>
        <v>3544317.1613718132</v>
      </c>
      <c r="G23" s="310">
        <f t="shared" ref="G23:J23" si="10">SUM(G5:G22)-G12-G13-G14</f>
        <v>4452549.6158027565</v>
      </c>
      <c r="H23" s="310">
        <f t="shared" si="10"/>
        <v>5626180.5271551302</v>
      </c>
      <c r="I23" s="310">
        <f t="shared" si="10"/>
        <v>6713660.2720741928</v>
      </c>
      <c r="J23" s="310">
        <f t="shared" si="10"/>
        <v>7143213.1839293391</v>
      </c>
    </row>
    <row r="24" spans="1:10" x14ac:dyDescent="0.15">
      <c r="A24" s="251" t="s">
        <v>259</v>
      </c>
      <c r="B24" s="154">
        <v>-149426</v>
      </c>
      <c r="C24" s="154">
        <v>-367686</v>
      </c>
      <c r="D24" s="154">
        <v>-430708</v>
      </c>
      <c r="E24" s="154">
        <v>-612984</v>
      </c>
      <c r="F24" s="313">
        <f>-F23*F40</f>
        <v>-953448.23563561786</v>
      </c>
      <c r="G24" s="313">
        <f t="shared" ref="G24:J24" si="11">-G23*G40</f>
        <v>-1197769.663938334</v>
      </c>
      <c r="H24" s="313">
        <f t="shared" si="11"/>
        <v>-1513485.2928645106</v>
      </c>
      <c r="I24" s="313">
        <f t="shared" si="11"/>
        <v>-1806025.603698669</v>
      </c>
      <c r="J24" s="313">
        <f t="shared" si="11"/>
        <v>-1921578.5994587645</v>
      </c>
    </row>
    <row r="25" spans="1:10" x14ac:dyDescent="0.15">
      <c r="A25" s="296" t="s">
        <v>260</v>
      </c>
      <c r="B25" s="152">
        <v>410682</v>
      </c>
      <c r="C25" s="152">
        <v>978191</v>
      </c>
      <c r="D25" s="152">
        <v>1194342</v>
      </c>
      <c r="E25" s="152">
        <v>1648846</v>
      </c>
      <c r="F25" s="314">
        <f>F23+F24</f>
        <v>2590868.9257361954</v>
      </c>
      <c r="G25" s="314">
        <f t="shared" ref="G25:J25" si="12">G23+G24</f>
        <v>3254779.9518644223</v>
      </c>
      <c r="H25" s="314">
        <f t="shared" si="12"/>
        <v>4112695.2342906194</v>
      </c>
      <c r="I25" s="314">
        <f t="shared" si="12"/>
        <v>4907634.6683755238</v>
      </c>
      <c r="J25" s="314">
        <f t="shared" si="12"/>
        <v>5221634.5844705747</v>
      </c>
    </row>
    <row r="26" spans="1:10" x14ac:dyDescent="0.15">
      <c r="A26" s="251" t="s">
        <v>261</v>
      </c>
      <c r="B26" s="154">
        <v>148</v>
      </c>
      <c r="C26" s="154">
        <v>5539</v>
      </c>
      <c r="D26" s="154">
        <v>-30507</v>
      </c>
      <c r="E26" s="154">
        <v>-18501</v>
      </c>
      <c r="F26" s="313">
        <f>AVERAGE(B26:E26)</f>
        <v>-10830.25</v>
      </c>
      <c r="G26" s="313">
        <f>F26</f>
        <v>-10830.25</v>
      </c>
      <c r="H26" s="313">
        <f t="shared" ref="H26:J26" si="13">G26</f>
        <v>-10830.25</v>
      </c>
      <c r="I26" s="313">
        <f t="shared" si="13"/>
        <v>-10830.25</v>
      </c>
      <c r="J26" s="313">
        <f t="shared" si="13"/>
        <v>-10830.25</v>
      </c>
    </row>
    <row r="27" spans="1:10" x14ac:dyDescent="0.15">
      <c r="A27" s="296" t="s">
        <v>51</v>
      </c>
      <c r="B27" s="152">
        <v>410830</v>
      </c>
      <c r="C27" s="153">
        <v>983730</v>
      </c>
      <c r="D27" s="153">
        <v>1163835</v>
      </c>
      <c r="E27" s="153">
        <v>1630345</v>
      </c>
      <c r="F27" s="310">
        <f>F25+F26</f>
        <v>2580038.6757361954</v>
      </c>
      <c r="G27" s="310">
        <f t="shared" ref="G27:J27" si="14">G25+G26</f>
        <v>3243949.7018644223</v>
      </c>
      <c r="H27" s="310">
        <f t="shared" si="14"/>
        <v>4101864.9842906194</v>
      </c>
      <c r="I27" s="310">
        <f t="shared" si="14"/>
        <v>4896804.4183755238</v>
      </c>
      <c r="J27" s="310">
        <f t="shared" si="14"/>
        <v>5210804.3344705747</v>
      </c>
    </row>
    <row r="28" spans="1:10" x14ac:dyDescent="0.15">
      <c r="A28" s="296" t="s">
        <v>262</v>
      </c>
      <c r="B28" s="154">
        <v>272693</v>
      </c>
      <c r="C28" s="154">
        <v>735169</v>
      </c>
      <c r="D28" s="154">
        <v>1027845</v>
      </c>
      <c r="E28" s="154">
        <v>1646156</v>
      </c>
      <c r="F28" s="313">
        <f>F25-F29</f>
        <v>2586642.0680367919</v>
      </c>
      <c r="G28" s="313">
        <f t="shared" ref="G28:J28" si="15">G25-G29</f>
        <v>3249469.9604701288</v>
      </c>
      <c r="H28" s="313">
        <f t="shared" si="15"/>
        <v>4105985.602111361</v>
      </c>
      <c r="I28" s="313">
        <f t="shared" si="15"/>
        <v>4899628.1369845206</v>
      </c>
      <c r="J28" s="313">
        <f t="shared" si="15"/>
        <v>5213115.7797840089</v>
      </c>
    </row>
    <row r="29" spans="1:10" x14ac:dyDescent="0.15">
      <c r="A29" s="251" t="s">
        <v>110</v>
      </c>
      <c r="B29" s="152">
        <v>137989</v>
      </c>
      <c r="C29" s="153">
        <v>243022</v>
      </c>
      <c r="D29" s="153">
        <v>166497</v>
      </c>
      <c r="E29" s="153">
        <v>2690</v>
      </c>
      <c r="F29" s="312">
        <f>E29*(1+F25/E25-1)</f>
        <v>4226.8576994033201</v>
      </c>
      <c r="G29" s="312">
        <f t="shared" ref="G29:J29" si="16">F29*(1+G25/F25-1)</f>
        <v>5309.9913942935227</v>
      </c>
      <c r="H29" s="312">
        <f t="shared" si="16"/>
        <v>6709.632179258565</v>
      </c>
      <c r="I29" s="312">
        <f t="shared" si="16"/>
        <v>8006.5313910032601</v>
      </c>
      <c r="J29" s="312">
        <f t="shared" si="16"/>
        <v>8518.8046865661472</v>
      </c>
    </row>
    <row r="30" spans="1:10" x14ac:dyDescent="0.15">
      <c r="A30" s="296" t="s">
        <v>263</v>
      </c>
      <c r="B30" s="154">
        <v>272013</v>
      </c>
      <c r="C30" s="154">
        <v>740708</v>
      </c>
      <c r="D30" s="154">
        <v>997338</v>
      </c>
      <c r="E30" s="154">
        <v>1627655</v>
      </c>
      <c r="F30" s="313">
        <f>F27-F31</f>
        <v>2575811.8180367919</v>
      </c>
      <c r="G30" s="313">
        <f t="shared" ref="G30:J30" si="17">G27-G31</f>
        <v>3238639.7104701288</v>
      </c>
      <c r="H30" s="313">
        <f t="shared" si="17"/>
        <v>4095155.352111361</v>
      </c>
      <c r="I30" s="313">
        <f t="shared" si="17"/>
        <v>4888797.8869845206</v>
      </c>
      <c r="J30" s="313">
        <f t="shared" si="17"/>
        <v>5202285.5297840089</v>
      </c>
    </row>
    <row r="31" spans="1:10" x14ac:dyDescent="0.15">
      <c r="A31" s="251" t="s">
        <v>264</v>
      </c>
      <c r="B31" s="152">
        <v>138817</v>
      </c>
      <c r="C31" s="153">
        <v>243022</v>
      </c>
      <c r="D31" s="153">
        <v>166497</v>
      </c>
      <c r="E31" s="153">
        <v>2690</v>
      </c>
      <c r="F31" s="312">
        <f>F29</f>
        <v>4226.8576994033201</v>
      </c>
      <c r="G31" s="312">
        <f t="shared" ref="G31:J31" si="18">G29</f>
        <v>5309.9913942935227</v>
      </c>
      <c r="H31" s="312">
        <f t="shared" si="18"/>
        <v>6709.632179258565</v>
      </c>
      <c r="I31" s="312">
        <f t="shared" si="18"/>
        <v>8006.5313910032601</v>
      </c>
      <c r="J31" s="312">
        <f t="shared" si="18"/>
        <v>8518.8046865661472</v>
      </c>
    </row>
    <row r="32" spans="1:10" x14ac:dyDescent="0.15">
      <c r="B32" s="147"/>
      <c r="C32" s="147"/>
      <c r="D32" s="147"/>
      <c r="E32" s="147"/>
      <c r="F32" s="315"/>
      <c r="G32" s="315"/>
      <c r="H32" s="315"/>
      <c r="I32" s="315"/>
      <c r="J32" s="315"/>
    </row>
    <row r="34" spans="1:10" x14ac:dyDescent="0.15">
      <c r="A34" s="256" t="s">
        <v>269</v>
      </c>
      <c r="B34" s="158">
        <f>-B7/B5</f>
        <v>0.45160389265900047</v>
      </c>
      <c r="C34" s="158">
        <f t="shared" ref="C34:E34" si="19">-C7/C5</f>
        <v>0.40719888069269178</v>
      </c>
      <c r="D34" s="158">
        <f t="shared" si="19"/>
        <v>0.40548660969035938</v>
      </c>
      <c r="E34" s="158">
        <f t="shared" si="19"/>
        <v>0.40868596448839362</v>
      </c>
      <c r="F34" s="317">
        <f>业务模型!F4/业务模型!F2-利润表!F35-利润表!F36-利润表!F37</f>
        <v>0.41862670182470579</v>
      </c>
      <c r="G34" s="317">
        <f>业务模型!G4/业务模型!G2-利润表!G35-利润表!G36-利润表!G37</f>
        <v>0.40976523087768485</v>
      </c>
      <c r="H34" s="317">
        <f>业务模型!H4/业务模型!H2-利润表!H35-利润表!H36-利润表!H37</f>
        <v>0.41224268888085086</v>
      </c>
      <c r="I34" s="317">
        <f>业务模型!I4/业务模型!I2-利润表!I35-利润表!I36-利润表!I37</f>
        <v>0.41388430752068589</v>
      </c>
      <c r="J34" s="317">
        <f>业务模型!J4/业务模型!J2-利润表!J35-利润表!J36-利润表!J37</f>
        <v>0.41541619564191884</v>
      </c>
    </row>
    <row r="35" spans="1:10" x14ac:dyDescent="0.15">
      <c r="A35" s="256" t="s">
        <v>270</v>
      </c>
      <c r="B35" s="158">
        <f>-B8/B5</f>
        <v>0.27305260217604516</v>
      </c>
      <c r="C35" s="158">
        <f t="shared" ref="C35:E35" si="20">-C8/C5</f>
        <v>0.26183071399131574</v>
      </c>
      <c r="D35" s="158">
        <f t="shared" si="20"/>
        <v>0.29328279984243927</v>
      </c>
      <c r="E35" s="158">
        <f t="shared" si="20"/>
        <v>0.29561502967157954</v>
      </c>
      <c r="F35" s="317">
        <f>E35</f>
        <v>0.29561502967157954</v>
      </c>
      <c r="G35" s="317">
        <f>F35+0.3%</f>
        <v>0.29861502967157955</v>
      </c>
      <c r="H35" s="317">
        <f>G35-0.5%</f>
        <v>0.29361502967157954</v>
      </c>
      <c r="I35" s="317">
        <f t="shared" ref="I35:J35" si="21">H35-0.5%</f>
        <v>0.28861502967157954</v>
      </c>
      <c r="J35" s="317">
        <f t="shared" si="21"/>
        <v>0.28361502967157953</v>
      </c>
    </row>
    <row r="36" spans="1:10" x14ac:dyDescent="0.15">
      <c r="A36" s="256" t="s">
        <v>271</v>
      </c>
      <c r="B36" s="158">
        <f>-B9/B5</f>
        <v>4.6812035127179165E-2</v>
      </c>
      <c r="C36" s="158">
        <f t="shared" ref="C36:E36" si="22">-C9/C5</f>
        <v>3.8214523483654443E-2</v>
      </c>
      <c r="D36" s="158">
        <f t="shared" si="22"/>
        <v>3.900116290329101E-2</v>
      </c>
      <c r="E36" s="158">
        <f t="shared" si="22"/>
        <v>4.0362187741247328E-2</v>
      </c>
      <c r="F36" s="317">
        <f>AVERAGE(C36:E36)</f>
        <v>3.9192624709397599E-2</v>
      </c>
      <c r="G36" s="317">
        <f>F36+0.3%</f>
        <v>4.2192624709397601E-2</v>
      </c>
      <c r="H36" s="317">
        <f t="shared" ref="H36:J36" si="23">G36</f>
        <v>4.2192624709397601E-2</v>
      </c>
      <c r="I36" s="317">
        <f t="shared" si="23"/>
        <v>4.2192624709397601E-2</v>
      </c>
      <c r="J36" s="317">
        <f t="shared" si="23"/>
        <v>4.2192624709397601E-2</v>
      </c>
    </row>
    <row r="37" spans="1:10" x14ac:dyDescent="0.15">
      <c r="A37" s="256" t="s">
        <v>272</v>
      </c>
      <c r="B37" s="158">
        <f>-B10/B5</f>
        <v>3.8474072391005788E-2</v>
      </c>
      <c r="C37" s="158">
        <f t="shared" ref="C37:E37" si="24">-C10/C5</f>
        <v>3.3682835093521948E-2</v>
      </c>
      <c r="D37" s="158">
        <f t="shared" si="24"/>
        <v>3.2769712244892203E-2</v>
      </c>
      <c r="E37" s="158">
        <f t="shared" si="24"/>
        <v>3.5050297305101626E-2</v>
      </c>
      <c r="F37" s="317">
        <f t="shared" ref="F37:G39" si="25">E37</f>
        <v>3.5050297305101626E-2</v>
      </c>
      <c r="G37" s="317">
        <f t="shared" si="25"/>
        <v>3.5050297305101626E-2</v>
      </c>
      <c r="H37" s="317">
        <f t="shared" ref="H37:J37" si="26">G37</f>
        <v>3.5050297305101626E-2</v>
      </c>
      <c r="I37" s="317">
        <f t="shared" si="26"/>
        <v>3.5050297305101626E-2</v>
      </c>
      <c r="J37" s="317">
        <f t="shared" si="26"/>
        <v>3.5050297305101626E-2</v>
      </c>
    </row>
    <row r="38" spans="1:10" x14ac:dyDescent="0.15">
      <c r="A38" s="256" t="s">
        <v>273</v>
      </c>
      <c r="B38" s="158">
        <f>-B11/B5</f>
        <v>4.1548065361261918E-2</v>
      </c>
      <c r="C38" s="158">
        <f t="shared" ref="C38:E38" si="27">-C11/C5</f>
        <v>3.6620068993553273E-2</v>
      </c>
      <c r="D38" s="158">
        <f t="shared" si="27"/>
        <v>3.3828452492533259E-2</v>
      </c>
      <c r="E38" s="158">
        <f t="shared" si="27"/>
        <v>4.0622130814244713E-2</v>
      </c>
      <c r="F38" s="317">
        <f t="shared" si="25"/>
        <v>4.0622130814244713E-2</v>
      </c>
      <c r="G38" s="317">
        <f t="shared" si="25"/>
        <v>4.0622130814244713E-2</v>
      </c>
      <c r="H38" s="317">
        <f t="shared" ref="H38:J38" si="28">G38</f>
        <v>4.0622130814244713E-2</v>
      </c>
      <c r="I38" s="317">
        <f t="shared" si="28"/>
        <v>4.0622130814244713E-2</v>
      </c>
      <c r="J38" s="317">
        <f t="shared" si="28"/>
        <v>4.0622130814244713E-2</v>
      </c>
    </row>
    <row r="39" spans="1:10" x14ac:dyDescent="0.15">
      <c r="A39" s="256" t="s">
        <v>52</v>
      </c>
      <c r="B39" s="158">
        <f>-B21/B5</f>
        <v>5.595236978523392E-4</v>
      </c>
      <c r="C39" s="158">
        <f t="shared" ref="C39:E39" si="29">-C21/C5</f>
        <v>1.046020549494434E-3</v>
      </c>
      <c r="D39" s="158">
        <f t="shared" si="29"/>
        <v>8.0980185519268757E-4</v>
      </c>
      <c r="E39" s="158">
        <f t="shared" si="29"/>
        <v>1.8404629591433842E-3</v>
      </c>
      <c r="F39" s="317">
        <f t="shared" si="25"/>
        <v>1.8404629591433842E-3</v>
      </c>
      <c r="G39" s="317">
        <f t="shared" si="25"/>
        <v>1.8404629591433842E-3</v>
      </c>
      <c r="H39" s="317">
        <f t="shared" ref="H39:J39" si="30">G39</f>
        <v>1.8404629591433842E-3</v>
      </c>
      <c r="I39" s="317">
        <f t="shared" si="30"/>
        <v>1.8404629591433842E-3</v>
      </c>
      <c r="J39" s="317">
        <f t="shared" si="30"/>
        <v>1.8404629591433842E-3</v>
      </c>
    </row>
    <row r="40" spans="1:10" x14ac:dyDescent="0.15">
      <c r="A40" s="256" t="s">
        <v>53</v>
      </c>
      <c r="B40" s="158">
        <f>-B24/B23</f>
        <v>0.26678069229505741</v>
      </c>
      <c r="C40" s="158">
        <f t="shared" ref="C40:E40" si="31">-C24/C23</f>
        <v>0.27319435579922979</v>
      </c>
      <c r="D40" s="158">
        <f t="shared" si="31"/>
        <v>0.26504292175625366</v>
      </c>
      <c r="E40" s="158">
        <f t="shared" si="31"/>
        <v>0.27101241030493006</v>
      </c>
      <c r="F40" s="317">
        <f>AVERAGE(B40:E40)</f>
        <v>0.26900759503886773</v>
      </c>
      <c r="G40" s="317">
        <f>F40</f>
        <v>0.26900759503886773</v>
      </c>
      <c r="H40" s="317">
        <f t="shared" ref="H40:J40" si="32">G40</f>
        <v>0.26900759503886773</v>
      </c>
      <c r="I40" s="317">
        <f t="shared" si="32"/>
        <v>0.26900759503886773</v>
      </c>
      <c r="J40" s="317">
        <f t="shared" si="32"/>
        <v>0.26900759503886773</v>
      </c>
    </row>
    <row r="41" spans="1:10" x14ac:dyDescent="0.15">
      <c r="A41" s="256" t="s">
        <v>54</v>
      </c>
      <c r="B41" s="158"/>
      <c r="C41" s="158">
        <f>C5/B5-1</f>
        <v>0.35628231679290256</v>
      </c>
      <c r="D41" s="158">
        <f t="shared" ref="D41:E41" si="33">D5/C5-1</f>
        <v>0.36239725829138103</v>
      </c>
      <c r="E41" s="158">
        <f t="shared" si="33"/>
        <v>0.59526452994546486</v>
      </c>
      <c r="F41" s="158">
        <f t="shared" ref="F41" si="34">F5/E5-1</f>
        <v>0.5923951222355508</v>
      </c>
      <c r="G41" s="158">
        <f t="shared" ref="G41" si="35">G5/F5-1</f>
        <v>0.19748823903427315</v>
      </c>
      <c r="H41" s="158">
        <f t="shared" ref="H41" si="36">H5/G5-1</f>
        <v>0.2128095901267848</v>
      </c>
      <c r="I41" s="158">
        <f t="shared" ref="I41" si="37">I5/H5-1</f>
        <v>0.14084827370542641</v>
      </c>
      <c r="J41" s="158">
        <f t="shared" ref="J41" si="38">J5/I5-1</f>
        <v>1.7368926707642007E-2</v>
      </c>
    </row>
    <row r="42" spans="1:10" x14ac:dyDescent="0.15">
      <c r="A42" s="256" t="s">
        <v>55</v>
      </c>
      <c r="B42" s="158"/>
      <c r="C42" s="158">
        <f>C30/B30-1</f>
        <v>1.723061030171352</v>
      </c>
      <c r="D42" s="158">
        <f t="shared" ref="D42:J42" si="39">D30/C30-1</f>
        <v>0.34646581378896957</v>
      </c>
      <c r="E42" s="158">
        <f t="shared" si="39"/>
        <v>0.6319993823558312</v>
      </c>
      <c r="F42" s="158">
        <f t="shared" si="39"/>
        <v>0.58252935544497575</v>
      </c>
      <c r="G42" s="158">
        <f t="shared" si="39"/>
        <v>0.25732776276278013</v>
      </c>
      <c r="H42" s="158">
        <f t="shared" si="39"/>
        <v>0.26446771429134919</v>
      </c>
      <c r="I42" s="158">
        <f t="shared" si="39"/>
        <v>0.19380034861534057</v>
      </c>
      <c r="J42" s="158">
        <f t="shared" si="39"/>
        <v>6.412366599038366E-2</v>
      </c>
    </row>
    <row r="43" spans="1:10" x14ac:dyDescent="0.15">
      <c r="A43" s="256" t="s">
        <v>56</v>
      </c>
      <c r="B43" s="158">
        <f>(B5+B7+B8+B9+B10)/B5</f>
        <v>0.19005739764676943</v>
      </c>
      <c r="C43" s="158">
        <f t="shared" ref="C43:J43" si="40">(C5+C7+C8+C9+C10)/C5</f>
        <v>0.25907304673881609</v>
      </c>
      <c r="D43" s="158">
        <f t="shared" si="40"/>
        <v>0.22945971531901813</v>
      </c>
      <c r="E43" s="158">
        <f t="shared" si="40"/>
        <v>0.22028652079367791</v>
      </c>
      <c r="F43" s="158">
        <f t="shared" si="40"/>
        <v>0.21151534648921541</v>
      </c>
      <c r="G43" s="158">
        <f t="shared" si="40"/>
        <v>0.21437681743623638</v>
      </c>
      <c r="H43" s="158">
        <f t="shared" si="40"/>
        <v>0.21689935943307037</v>
      </c>
      <c r="I43" s="158">
        <f t="shared" si="40"/>
        <v>0.22025774079323537</v>
      </c>
      <c r="J43" s="158">
        <f t="shared" si="40"/>
        <v>0.22372585267200243</v>
      </c>
    </row>
    <row r="44" spans="1:10" x14ac:dyDescent="0.15">
      <c r="A44" s="256" t="s">
        <v>57</v>
      </c>
      <c r="B44" s="158">
        <f>B30/B5</f>
        <v>4.7251698113600853E-2</v>
      </c>
      <c r="C44" s="158">
        <f t="shared" ref="C44:J44" si="41">C30/C5</f>
        <v>9.4869081569110239E-2</v>
      </c>
      <c r="D44" s="158">
        <f t="shared" si="41"/>
        <v>9.375971240470915E-2</v>
      </c>
      <c r="E44" s="158">
        <f t="shared" si="41"/>
        <v>9.5918758213458577E-2</v>
      </c>
      <c r="F44" s="158">
        <f t="shared" si="41"/>
        <v>9.5324488558797105E-2</v>
      </c>
      <c r="G44" s="158">
        <f t="shared" si="41"/>
        <v>0.10008793575525736</v>
      </c>
      <c r="H44" s="158">
        <f t="shared" si="41"/>
        <v>0.10435105756325654</v>
      </c>
      <c r="I44" s="158">
        <f t="shared" si="41"/>
        <v>0.10919447552195791</v>
      </c>
      <c r="J44" s="158">
        <f t="shared" si="41"/>
        <v>0.11421267403394367</v>
      </c>
    </row>
    <row r="46" spans="1:10" x14ac:dyDescent="0.15">
      <c r="F46" s="318"/>
      <c r="G46" s="318"/>
      <c r="H46" s="318"/>
      <c r="I46" s="318"/>
      <c r="J46" s="318"/>
    </row>
  </sheetData>
  <phoneticPr fontId="3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2"/>
  <sheetViews>
    <sheetView workbookViewId="0">
      <pane ySplit="2" topLeftCell="A3" activePane="bottomLeft" state="frozen"/>
      <selection pane="bottomLeft" activeCell="H14" sqref="H14"/>
    </sheetView>
  </sheetViews>
  <sheetFormatPr defaultColWidth="9" defaultRowHeight="13.5" x14ac:dyDescent="0.15"/>
  <cols>
    <col min="1" max="1" width="41.625" style="18" customWidth="1"/>
    <col min="2" max="5" width="11.625" style="18" customWidth="1"/>
    <col min="6" max="16384" width="9" style="18"/>
  </cols>
  <sheetData>
    <row r="1" spans="1:5" x14ac:dyDescent="0.15">
      <c r="A1" s="303" t="s">
        <v>274</v>
      </c>
      <c r="B1" s="193"/>
      <c r="C1" s="193"/>
      <c r="D1" s="194"/>
      <c r="E1" s="194"/>
    </row>
    <row r="2" spans="1:5" x14ac:dyDescent="0.15">
      <c r="A2" s="252"/>
      <c r="B2" s="253" t="s">
        <v>42</v>
      </c>
      <c r="C2" s="253" t="s">
        <v>43</v>
      </c>
      <c r="D2" s="254" t="s">
        <v>44</v>
      </c>
      <c r="E2" s="254" t="s">
        <v>45</v>
      </c>
    </row>
    <row r="3" spans="1:5" x14ac:dyDescent="0.15">
      <c r="A3" s="252" t="s">
        <v>46</v>
      </c>
      <c r="B3" s="148" t="s">
        <v>47</v>
      </c>
      <c r="C3" s="148" t="s">
        <v>47</v>
      </c>
      <c r="D3" s="148" t="s">
        <v>47</v>
      </c>
      <c r="E3" s="148" t="s">
        <v>47</v>
      </c>
    </row>
    <row r="4" spans="1:5" x14ac:dyDescent="0.15">
      <c r="A4" s="252" t="s">
        <v>48</v>
      </c>
      <c r="B4" s="149" t="s">
        <v>49</v>
      </c>
      <c r="C4" s="149" t="s">
        <v>49</v>
      </c>
      <c r="D4" s="149" t="s">
        <v>49</v>
      </c>
      <c r="E4" s="149" t="s">
        <v>49</v>
      </c>
    </row>
    <row r="5" spans="1:5" x14ac:dyDescent="0.15">
      <c r="A5" s="322" t="s">
        <v>59</v>
      </c>
      <c r="B5" s="319">
        <v>1222556</v>
      </c>
      <c r="C5" s="319">
        <v>1492848</v>
      </c>
      <c r="D5" s="320">
        <v>2274131</v>
      </c>
      <c r="E5" s="320">
        <v>6208657</v>
      </c>
    </row>
    <row r="6" spans="1:5" x14ac:dyDescent="0.15">
      <c r="A6" s="252" t="s">
        <v>275</v>
      </c>
      <c r="B6" s="321">
        <v>796628</v>
      </c>
      <c r="C6" s="321">
        <v>943041</v>
      </c>
      <c r="D6" s="321">
        <v>2085428</v>
      </c>
      <c r="E6" s="321">
        <v>3999803</v>
      </c>
    </row>
    <row r="7" spans="1:5" x14ac:dyDescent="0.15">
      <c r="A7" s="252" t="s">
        <v>276</v>
      </c>
      <c r="B7" s="319"/>
      <c r="C7" s="319"/>
      <c r="D7" s="320"/>
      <c r="E7" s="320"/>
    </row>
    <row r="8" spans="1:5" x14ac:dyDescent="0.15">
      <c r="A8" s="252" t="s">
        <v>277</v>
      </c>
      <c r="B8" s="321">
        <v>19219</v>
      </c>
      <c r="C8" s="321">
        <v>14954</v>
      </c>
      <c r="D8" s="321">
        <v>10619</v>
      </c>
      <c r="E8" s="321">
        <v>51816</v>
      </c>
    </row>
    <row r="9" spans="1:5" x14ac:dyDescent="0.15">
      <c r="A9" s="252" t="s">
        <v>278</v>
      </c>
      <c r="B9" s="319"/>
      <c r="C9" s="319"/>
      <c r="D9" s="320"/>
      <c r="E9" s="320"/>
    </row>
    <row r="10" spans="1:5" x14ac:dyDescent="0.15">
      <c r="A10" s="252" t="s">
        <v>279</v>
      </c>
      <c r="B10" s="321"/>
      <c r="C10" s="321"/>
      <c r="D10" s="321">
        <v>4482</v>
      </c>
      <c r="E10" s="321">
        <v>34531</v>
      </c>
    </row>
    <row r="11" spans="1:5" x14ac:dyDescent="0.15">
      <c r="A11" s="252" t="s">
        <v>280</v>
      </c>
      <c r="B11" s="319">
        <v>305319</v>
      </c>
      <c r="C11" s="319">
        <v>410518</v>
      </c>
      <c r="D11" s="320"/>
      <c r="E11" s="320"/>
    </row>
    <row r="12" spans="1:5" x14ac:dyDescent="0.15">
      <c r="A12" s="252" t="s">
        <v>281</v>
      </c>
      <c r="B12" s="321"/>
      <c r="C12" s="321"/>
      <c r="D12" s="321"/>
      <c r="E12" s="321">
        <v>65331</v>
      </c>
    </row>
    <row r="13" spans="1:5" x14ac:dyDescent="0.15">
      <c r="A13" s="252" t="s">
        <v>282</v>
      </c>
      <c r="B13" s="319">
        <v>42177</v>
      </c>
      <c r="C13" s="319">
        <v>49000</v>
      </c>
      <c r="D13" s="320">
        <v>52754</v>
      </c>
      <c r="E13" s="320">
        <v>91626</v>
      </c>
    </row>
    <row r="14" spans="1:5" x14ac:dyDescent="0.15">
      <c r="A14" s="252" t="s">
        <v>283</v>
      </c>
      <c r="B14" s="321"/>
      <c r="C14" s="321"/>
      <c r="D14" s="321"/>
      <c r="E14" s="321">
        <v>1720216</v>
      </c>
    </row>
    <row r="15" spans="1:5" x14ac:dyDescent="0.15">
      <c r="A15" s="252" t="s">
        <v>284</v>
      </c>
      <c r="B15" s="319">
        <v>52719</v>
      </c>
      <c r="C15" s="319">
        <v>68398</v>
      </c>
      <c r="D15" s="320">
        <v>120848</v>
      </c>
      <c r="E15" s="320">
        <v>232749</v>
      </c>
    </row>
    <row r="16" spans="1:5" x14ac:dyDescent="0.15">
      <c r="A16" s="252" t="s">
        <v>285</v>
      </c>
      <c r="B16" s="321">
        <v>6494</v>
      </c>
      <c r="C16" s="321">
        <v>6937</v>
      </c>
      <c r="D16" s="321"/>
      <c r="E16" s="321">
        <v>12585</v>
      </c>
    </row>
    <row r="17" spans="1:5" x14ac:dyDescent="0.15">
      <c r="A17" s="252" t="s">
        <v>286</v>
      </c>
      <c r="B17" s="319"/>
      <c r="C17" s="319"/>
      <c r="D17" s="320"/>
      <c r="E17" s="320"/>
    </row>
    <row r="18" spans="1:5" x14ac:dyDescent="0.15">
      <c r="A18" s="252" t="s">
        <v>287</v>
      </c>
      <c r="B18" s="321"/>
      <c r="C18" s="321"/>
      <c r="D18" s="321"/>
      <c r="E18" s="321"/>
    </row>
    <row r="19" spans="1:5" x14ac:dyDescent="0.15">
      <c r="A19" s="322" t="s">
        <v>58</v>
      </c>
      <c r="B19" s="319">
        <v>1184062</v>
      </c>
      <c r="C19" s="319">
        <v>1256675</v>
      </c>
      <c r="D19" s="320">
        <v>1461694</v>
      </c>
      <c r="E19" s="320">
        <v>5735986</v>
      </c>
    </row>
    <row r="20" spans="1:5" x14ac:dyDescent="0.15">
      <c r="A20" s="252" t="s">
        <v>288</v>
      </c>
      <c r="B20" s="321">
        <v>41065</v>
      </c>
      <c r="C20" s="321">
        <v>49707</v>
      </c>
      <c r="D20" s="321">
        <v>95118</v>
      </c>
      <c r="E20" s="321">
        <v>457124</v>
      </c>
    </row>
    <row r="21" spans="1:5" x14ac:dyDescent="0.15">
      <c r="A21" s="252" t="s">
        <v>289</v>
      </c>
      <c r="B21" s="319">
        <v>175473</v>
      </c>
      <c r="C21" s="319">
        <v>246678</v>
      </c>
      <c r="D21" s="320">
        <v>497616</v>
      </c>
      <c r="E21" s="320">
        <v>845118</v>
      </c>
    </row>
    <row r="22" spans="1:5" x14ac:dyDescent="0.15">
      <c r="A22" s="252" t="s">
        <v>290</v>
      </c>
      <c r="B22" s="321">
        <v>748336</v>
      </c>
      <c r="C22" s="321">
        <v>502242</v>
      </c>
      <c r="D22" s="321">
        <v>444213</v>
      </c>
      <c r="E22" s="321">
        <v>201261</v>
      </c>
    </row>
    <row r="23" spans="1:5" x14ac:dyDescent="0.15">
      <c r="A23" s="252" t="s">
        <v>291</v>
      </c>
      <c r="B23" s="319">
        <v>52954</v>
      </c>
      <c r="C23" s="319">
        <v>7323</v>
      </c>
      <c r="D23" s="320">
        <v>78857</v>
      </c>
      <c r="E23" s="320">
        <v>1653</v>
      </c>
    </row>
    <row r="24" spans="1:5" x14ac:dyDescent="0.15">
      <c r="A24" s="252" t="s">
        <v>292</v>
      </c>
      <c r="B24" s="321"/>
      <c r="C24" s="321"/>
      <c r="D24" s="321"/>
      <c r="E24" s="321">
        <v>103381</v>
      </c>
    </row>
    <row r="25" spans="1:5" x14ac:dyDescent="0.15">
      <c r="A25" s="252" t="s">
        <v>293</v>
      </c>
      <c r="B25" s="319">
        <v>7000</v>
      </c>
      <c r="C25" s="319">
        <v>7636</v>
      </c>
      <c r="D25" s="320">
        <v>16201</v>
      </c>
      <c r="E25" s="320">
        <v>807</v>
      </c>
    </row>
    <row r="26" spans="1:5" x14ac:dyDescent="0.15">
      <c r="A26" s="252" t="s">
        <v>294</v>
      </c>
      <c r="B26" s="321">
        <v>1639</v>
      </c>
      <c r="C26" s="321">
        <v>36213</v>
      </c>
      <c r="D26" s="321">
        <v>47657</v>
      </c>
      <c r="E26" s="321">
        <v>8019</v>
      </c>
    </row>
    <row r="27" spans="1:5" x14ac:dyDescent="0.15">
      <c r="A27" s="252" t="s">
        <v>295</v>
      </c>
      <c r="B27" s="319">
        <v>157595</v>
      </c>
      <c r="C27" s="319">
        <v>406876</v>
      </c>
      <c r="D27" s="320">
        <v>282032</v>
      </c>
      <c r="E27" s="320">
        <v>4118623</v>
      </c>
    </row>
    <row r="28" spans="1:5" x14ac:dyDescent="0.15">
      <c r="A28" s="322" t="s">
        <v>62</v>
      </c>
      <c r="B28" s="321">
        <v>1244419</v>
      </c>
      <c r="C28" s="321">
        <v>1642318</v>
      </c>
      <c r="D28" s="321">
        <v>2618137</v>
      </c>
      <c r="E28" s="321">
        <v>3305988</v>
      </c>
    </row>
    <row r="29" spans="1:5" x14ac:dyDescent="0.15">
      <c r="A29" s="252" t="s">
        <v>296</v>
      </c>
      <c r="B29" s="319">
        <v>100272</v>
      </c>
      <c r="C29" s="319">
        <v>119768</v>
      </c>
      <c r="D29" s="320">
        <v>168719</v>
      </c>
      <c r="E29" s="320">
        <v>729328</v>
      </c>
    </row>
    <row r="30" spans="1:5" x14ac:dyDescent="0.15">
      <c r="A30" s="252" t="s">
        <v>61</v>
      </c>
      <c r="B30" s="321">
        <v>284743</v>
      </c>
      <c r="C30" s="321">
        <v>363979</v>
      </c>
      <c r="D30" s="321">
        <v>510735</v>
      </c>
      <c r="E30" s="321">
        <v>906464</v>
      </c>
    </row>
    <row r="31" spans="1:5" x14ac:dyDescent="0.15">
      <c r="A31" s="252" t="s">
        <v>297</v>
      </c>
      <c r="B31" s="319">
        <v>154319</v>
      </c>
      <c r="C31" s="319">
        <v>212505</v>
      </c>
      <c r="D31" s="320">
        <v>1202588</v>
      </c>
      <c r="E31" s="320">
        <v>592663</v>
      </c>
    </row>
    <row r="32" spans="1:5" x14ac:dyDescent="0.15">
      <c r="A32" s="252" t="s">
        <v>60</v>
      </c>
      <c r="B32" s="321"/>
      <c r="C32" s="321"/>
      <c r="D32" s="321"/>
      <c r="E32" s="321">
        <v>128416</v>
      </c>
    </row>
    <row r="33" spans="1:5" x14ac:dyDescent="0.15">
      <c r="A33" s="252" t="s">
        <v>298</v>
      </c>
      <c r="B33" s="319">
        <v>45490</v>
      </c>
      <c r="C33" s="319">
        <v>105366</v>
      </c>
      <c r="D33" s="320">
        <v>79752</v>
      </c>
      <c r="E33" s="320">
        <v>160724</v>
      </c>
    </row>
    <row r="34" spans="1:5" x14ac:dyDescent="0.15">
      <c r="A34" s="252" t="s">
        <v>299</v>
      </c>
      <c r="B34" s="321"/>
      <c r="C34" s="321"/>
      <c r="D34" s="321"/>
      <c r="E34" s="321"/>
    </row>
    <row r="35" spans="1:5" x14ac:dyDescent="0.15">
      <c r="A35" s="252" t="s">
        <v>300</v>
      </c>
      <c r="B35" s="319">
        <v>414391</v>
      </c>
      <c r="C35" s="319">
        <v>567451</v>
      </c>
      <c r="D35" s="320">
        <v>347764</v>
      </c>
      <c r="E35" s="320">
        <v>410354</v>
      </c>
    </row>
    <row r="36" spans="1:5" x14ac:dyDescent="0.15">
      <c r="A36" s="252" t="s">
        <v>301</v>
      </c>
      <c r="B36" s="321">
        <v>245204</v>
      </c>
      <c r="C36" s="321">
        <v>273249</v>
      </c>
      <c r="D36" s="321">
        <v>308579</v>
      </c>
      <c r="E36" s="321">
        <v>378039</v>
      </c>
    </row>
    <row r="37" spans="1:5" x14ac:dyDescent="0.15">
      <c r="A37" s="252" t="s">
        <v>302</v>
      </c>
      <c r="B37" s="319"/>
      <c r="C37" s="319"/>
      <c r="D37" s="320"/>
      <c r="E37" s="320"/>
    </row>
    <row r="38" spans="1:5" x14ac:dyDescent="0.15">
      <c r="A38" s="252" t="s">
        <v>303</v>
      </c>
      <c r="B38" s="321"/>
      <c r="C38" s="321"/>
      <c r="D38" s="321"/>
      <c r="E38" s="321"/>
    </row>
    <row r="39" spans="1:5" x14ac:dyDescent="0.15">
      <c r="A39" s="322" t="s">
        <v>304</v>
      </c>
      <c r="B39" s="319">
        <v>-60357</v>
      </c>
      <c r="C39" s="319">
        <v>-385643</v>
      </c>
      <c r="D39" s="320">
        <v>-1156443</v>
      </c>
      <c r="E39" s="320">
        <v>2429998</v>
      </c>
    </row>
    <row r="40" spans="1:5" x14ac:dyDescent="0.15">
      <c r="A40" s="322" t="s">
        <v>305</v>
      </c>
      <c r="B40" s="321">
        <v>1162199</v>
      </c>
      <c r="C40" s="321">
        <v>1107205</v>
      </c>
      <c r="D40" s="321">
        <v>1117688</v>
      </c>
      <c r="E40" s="321">
        <v>8638655</v>
      </c>
    </row>
    <row r="41" spans="1:5" x14ac:dyDescent="0.15">
      <c r="A41" s="322" t="s">
        <v>63</v>
      </c>
      <c r="B41" s="319">
        <v>5281</v>
      </c>
      <c r="C41" s="319">
        <v>35465</v>
      </c>
      <c r="D41" s="320">
        <v>26707</v>
      </c>
      <c r="E41" s="320">
        <v>9097</v>
      </c>
    </row>
    <row r="42" spans="1:5" x14ac:dyDescent="0.15">
      <c r="A42" s="252" t="s">
        <v>306</v>
      </c>
      <c r="B42" s="321">
        <v>3290</v>
      </c>
      <c r="C42" s="321">
        <v>21743</v>
      </c>
      <c r="D42" s="321">
        <v>13398</v>
      </c>
      <c r="E42" s="321">
        <v>1618</v>
      </c>
    </row>
    <row r="43" spans="1:5" x14ac:dyDescent="0.15">
      <c r="A43" s="252" t="s">
        <v>307</v>
      </c>
      <c r="B43" s="319"/>
      <c r="C43" s="319"/>
      <c r="D43" s="320"/>
      <c r="E43" s="320"/>
    </row>
    <row r="44" spans="1:5" x14ac:dyDescent="0.15">
      <c r="A44" s="252" t="s">
        <v>308</v>
      </c>
      <c r="B44" s="321"/>
      <c r="C44" s="321">
        <v>11111</v>
      </c>
      <c r="D44" s="321">
        <v>9456</v>
      </c>
      <c r="E44" s="321"/>
    </row>
    <row r="45" spans="1:5" x14ac:dyDescent="0.15">
      <c r="A45" s="252" t="s">
        <v>309</v>
      </c>
      <c r="B45" s="319"/>
      <c r="C45" s="319"/>
      <c r="D45" s="320"/>
      <c r="E45" s="320"/>
    </row>
    <row r="46" spans="1:5" x14ac:dyDescent="0.15">
      <c r="A46" s="252" t="s">
        <v>310</v>
      </c>
      <c r="B46" s="321">
        <v>1991</v>
      </c>
      <c r="C46" s="321">
        <v>2611</v>
      </c>
      <c r="D46" s="321">
        <v>3853</v>
      </c>
      <c r="E46" s="321">
        <v>7479</v>
      </c>
    </row>
    <row r="47" spans="1:5" x14ac:dyDescent="0.15">
      <c r="A47" s="322" t="s">
        <v>311</v>
      </c>
      <c r="B47" s="319">
        <v>1156918</v>
      </c>
      <c r="C47" s="319">
        <v>1071740</v>
      </c>
      <c r="D47" s="320">
        <v>1090981</v>
      </c>
      <c r="E47" s="320">
        <v>8629558</v>
      </c>
    </row>
    <row r="48" spans="1:5" x14ac:dyDescent="0.15">
      <c r="A48" s="322" t="s">
        <v>312</v>
      </c>
      <c r="B48" s="321">
        <v>1156918</v>
      </c>
      <c r="C48" s="321">
        <v>1071740</v>
      </c>
      <c r="D48" s="321">
        <v>1090981</v>
      </c>
      <c r="E48" s="321">
        <v>8629558</v>
      </c>
    </row>
    <row r="49" spans="1:5" x14ac:dyDescent="0.15">
      <c r="A49" s="252" t="s">
        <v>313</v>
      </c>
      <c r="B49" s="319">
        <v>719228</v>
      </c>
      <c r="C49" s="319">
        <v>802017</v>
      </c>
      <c r="D49" s="320">
        <v>1089085</v>
      </c>
      <c r="E49" s="320">
        <v>8624972</v>
      </c>
    </row>
    <row r="50" spans="1:5" x14ac:dyDescent="0.15">
      <c r="A50" s="252" t="s">
        <v>314</v>
      </c>
      <c r="B50" s="321"/>
      <c r="C50" s="321"/>
      <c r="D50" s="321">
        <v>107</v>
      </c>
      <c r="E50" s="321">
        <v>175</v>
      </c>
    </row>
    <row r="51" spans="1:5" x14ac:dyDescent="0.15">
      <c r="A51" s="252" t="s">
        <v>315</v>
      </c>
      <c r="B51" s="319">
        <v>719228</v>
      </c>
      <c r="C51" s="319">
        <v>802017</v>
      </c>
      <c r="D51" s="320">
        <v>1088978</v>
      </c>
      <c r="E51" s="320">
        <v>8624797</v>
      </c>
    </row>
    <row r="52" spans="1:5" x14ac:dyDescent="0.15">
      <c r="A52" s="252" t="s">
        <v>316</v>
      </c>
      <c r="B52" s="321">
        <v>437690</v>
      </c>
      <c r="C52" s="321">
        <v>269723</v>
      </c>
      <c r="D52" s="321">
        <v>1896</v>
      </c>
      <c r="E52" s="321">
        <v>4586</v>
      </c>
    </row>
  </sheetData>
  <phoneticPr fontId="3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4"/>
  <sheetViews>
    <sheetView workbookViewId="0">
      <pane xSplit="1" ySplit="4" topLeftCell="B5" activePane="bottomRight" state="frozen"/>
      <selection pane="topRight"/>
      <selection pane="bottomLeft"/>
      <selection pane="bottomRight" activeCell="H74" sqref="H74"/>
    </sheetView>
  </sheetViews>
  <sheetFormatPr defaultColWidth="9" defaultRowHeight="13.5" x14ac:dyDescent="0.15"/>
  <cols>
    <col min="1" max="1" width="46.375" style="18" customWidth="1"/>
    <col min="2" max="5" width="11.625" style="18" customWidth="1"/>
    <col min="6" max="16384" width="9" style="18"/>
  </cols>
  <sheetData>
    <row r="1" spans="1:5" x14ac:dyDescent="0.15">
      <c r="A1" s="323" t="s">
        <v>389</v>
      </c>
      <c r="B1" s="193"/>
      <c r="C1" s="193"/>
      <c r="D1" s="193"/>
      <c r="E1" s="193"/>
    </row>
    <row r="2" spans="1:5" x14ac:dyDescent="0.15">
      <c r="A2" s="252"/>
      <c r="B2" s="253" t="s">
        <v>42</v>
      </c>
      <c r="C2" s="253" t="s">
        <v>43</v>
      </c>
      <c r="D2" s="253" t="s">
        <v>44</v>
      </c>
      <c r="E2" s="253" t="s">
        <v>45</v>
      </c>
    </row>
    <row r="3" spans="1:5" x14ac:dyDescent="0.15">
      <c r="A3" s="252" t="s">
        <v>46</v>
      </c>
      <c r="B3" s="148" t="s">
        <v>47</v>
      </c>
      <c r="C3" s="148" t="s">
        <v>47</v>
      </c>
      <c r="D3" s="148" t="s">
        <v>47</v>
      </c>
      <c r="E3" s="148" t="s">
        <v>47</v>
      </c>
    </row>
    <row r="4" spans="1:5" x14ac:dyDescent="0.15">
      <c r="A4" s="252" t="s">
        <v>48</v>
      </c>
      <c r="B4" s="149" t="s">
        <v>49</v>
      </c>
      <c r="C4" s="149" t="s">
        <v>49</v>
      </c>
      <c r="D4" s="149" t="s">
        <v>49</v>
      </c>
      <c r="E4" s="149" t="s">
        <v>49</v>
      </c>
    </row>
    <row r="5" spans="1:5" x14ac:dyDescent="0.15">
      <c r="A5" s="322" t="s">
        <v>317</v>
      </c>
      <c r="B5" s="319">
        <v>560108</v>
      </c>
      <c r="C5" s="319">
        <v>1345877</v>
      </c>
      <c r="D5" s="319">
        <v>1625050</v>
      </c>
      <c r="E5" s="319">
        <v>2261830</v>
      </c>
    </row>
    <row r="6" spans="1:5" x14ac:dyDescent="0.15">
      <c r="A6" s="252" t="s">
        <v>144</v>
      </c>
      <c r="B6" s="321">
        <v>3221</v>
      </c>
      <c r="C6" s="321">
        <v>8167</v>
      </c>
      <c r="D6" s="321">
        <v>8614</v>
      </c>
      <c r="E6" s="321">
        <v>31231</v>
      </c>
    </row>
    <row r="7" spans="1:5" x14ac:dyDescent="0.15">
      <c r="A7" s="252" t="s">
        <v>143</v>
      </c>
      <c r="B7" s="319">
        <v>-2655</v>
      </c>
      <c r="C7" s="319">
        <v>-3710</v>
      </c>
      <c r="D7" s="319">
        <v>-4663</v>
      </c>
      <c r="E7" s="319">
        <v>-38252</v>
      </c>
    </row>
    <row r="8" spans="1:5" x14ac:dyDescent="0.15">
      <c r="A8" s="252" t="s">
        <v>318</v>
      </c>
      <c r="B8" s="321"/>
      <c r="C8" s="321"/>
      <c r="D8" s="321"/>
      <c r="E8" s="321"/>
    </row>
    <row r="9" spans="1:5" x14ac:dyDescent="0.15">
      <c r="A9" s="252" t="s">
        <v>319</v>
      </c>
      <c r="B9" s="319"/>
      <c r="C9" s="319"/>
      <c r="D9" s="319">
        <v>-482</v>
      </c>
      <c r="E9" s="319">
        <v>-30049</v>
      </c>
    </row>
    <row r="10" spans="1:5" x14ac:dyDescent="0.15">
      <c r="A10" s="252" t="s">
        <v>320</v>
      </c>
      <c r="B10" s="321"/>
      <c r="C10" s="321"/>
      <c r="D10" s="321"/>
      <c r="E10" s="321">
        <v>2363</v>
      </c>
    </row>
    <row r="11" spans="1:5" x14ac:dyDescent="0.15">
      <c r="A11" s="252" t="s">
        <v>321</v>
      </c>
      <c r="B11" s="319">
        <v>2882</v>
      </c>
      <c r="C11" s="319">
        <v>3594</v>
      </c>
      <c r="D11" s="319">
        <v>10903</v>
      </c>
      <c r="E11" s="319">
        <v>4929</v>
      </c>
    </row>
    <row r="12" spans="1:5" x14ac:dyDescent="0.15">
      <c r="A12" s="252" t="s">
        <v>250</v>
      </c>
      <c r="B12" s="321"/>
      <c r="C12" s="321"/>
      <c r="D12" s="321"/>
      <c r="E12" s="321">
        <v>689321</v>
      </c>
    </row>
    <row r="13" spans="1:5" x14ac:dyDescent="0.15">
      <c r="A13" s="252" t="s">
        <v>322</v>
      </c>
      <c r="B13" s="319"/>
      <c r="C13" s="319"/>
      <c r="D13" s="319"/>
      <c r="E13" s="319"/>
    </row>
    <row r="14" spans="1:5" x14ac:dyDescent="0.15">
      <c r="A14" s="252" t="s">
        <v>323</v>
      </c>
      <c r="B14" s="321">
        <v>236049</v>
      </c>
      <c r="C14" s="321">
        <v>281395</v>
      </c>
      <c r="D14" s="321">
        <v>355377</v>
      </c>
      <c r="E14" s="321"/>
    </row>
    <row r="15" spans="1:5" x14ac:dyDescent="0.15">
      <c r="A15" s="252" t="s">
        <v>108</v>
      </c>
      <c r="B15" s="319">
        <v>3130</v>
      </c>
      <c r="C15" s="319">
        <v>4523</v>
      </c>
      <c r="D15" s="319">
        <v>4462</v>
      </c>
      <c r="E15" s="319"/>
    </row>
    <row r="16" spans="1:5" x14ac:dyDescent="0.15">
      <c r="A16" s="252" t="s">
        <v>324</v>
      </c>
      <c r="B16" s="321">
        <v>-2544</v>
      </c>
      <c r="C16" s="321">
        <v>-2957</v>
      </c>
      <c r="D16" s="321">
        <v>-24577</v>
      </c>
      <c r="E16" s="321">
        <v>-6803</v>
      </c>
    </row>
    <row r="17" spans="1:5" x14ac:dyDescent="0.15">
      <c r="A17" s="252" t="s">
        <v>325</v>
      </c>
      <c r="B17" s="319">
        <v>-849</v>
      </c>
      <c r="C17" s="319">
        <v>-2348</v>
      </c>
      <c r="D17" s="319">
        <v>3742</v>
      </c>
      <c r="E17" s="319">
        <v>-7276</v>
      </c>
    </row>
    <row r="18" spans="1:5" x14ac:dyDescent="0.15">
      <c r="A18" s="322" t="s">
        <v>326</v>
      </c>
      <c r="B18" s="321">
        <v>799342</v>
      </c>
      <c r="C18" s="321">
        <v>1634541</v>
      </c>
      <c r="D18" s="321">
        <v>1978426</v>
      </c>
      <c r="E18" s="321">
        <v>2907294</v>
      </c>
    </row>
    <row r="19" spans="1:5" x14ac:dyDescent="0.15">
      <c r="A19" s="252" t="s">
        <v>327</v>
      </c>
      <c r="B19" s="319">
        <v>-11925</v>
      </c>
      <c r="C19" s="319">
        <v>-8642</v>
      </c>
      <c r="D19" s="319">
        <v>-45411</v>
      </c>
      <c r="E19" s="319">
        <v>-362006</v>
      </c>
    </row>
    <row r="20" spans="1:5" x14ac:dyDescent="0.15">
      <c r="A20" s="252" t="s">
        <v>328</v>
      </c>
      <c r="B20" s="321">
        <v>-8721</v>
      </c>
      <c r="C20" s="321">
        <v>-34057</v>
      </c>
      <c r="D20" s="321">
        <v>-109307</v>
      </c>
      <c r="E20" s="321"/>
    </row>
    <row r="21" spans="1:5" x14ac:dyDescent="0.15">
      <c r="A21" s="252" t="s">
        <v>329</v>
      </c>
      <c r="B21" s="319">
        <v>5853</v>
      </c>
      <c r="C21" s="319">
        <v>19496</v>
      </c>
      <c r="D21" s="319">
        <v>48951</v>
      </c>
      <c r="E21" s="319">
        <v>560609</v>
      </c>
    </row>
    <row r="22" spans="1:5" x14ac:dyDescent="0.15">
      <c r="A22" s="252" t="s">
        <v>330</v>
      </c>
      <c r="B22" s="321"/>
      <c r="C22" s="321"/>
      <c r="D22" s="321"/>
      <c r="E22" s="321">
        <v>-335524</v>
      </c>
    </row>
    <row r="23" spans="1:5" x14ac:dyDescent="0.15">
      <c r="A23" s="252" t="s">
        <v>331</v>
      </c>
      <c r="B23" s="319"/>
      <c r="C23" s="319"/>
      <c r="D23" s="319"/>
      <c r="E23" s="319"/>
    </row>
    <row r="24" spans="1:5" x14ac:dyDescent="0.15">
      <c r="A24" s="252" t="s">
        <v>332</v>
      </c>
      <c r="B24" s="321"/>
      <c r="C24" s="321"/>
      <c r="D24" s="321"/>
      <c r="E24" s="321">
        <v>-111901</v>
      </c>
    </row>
    <row r="25" spans="1:5" x14ac:dyDescent="0.15">
      <c r="A25" s="252" t="s">
        <v>333</v>
      </c>
      <c r="B25" s="319">
        <v>56480</v>
      </c>
      <c r="C25" s="319">
        <v>86914</v>
      </c>
      <c r="D25" s="319">
        <v>150812</v>
      </c>
      <c r="E25" s="319">
        <v>255879</v>
      </c>
    </row>
    <row r="26" spans="1:5" x14ac:dyDescent="0.15">
      <c r="A26" s="252" t="s">
        <v>334</v>
      </c>
      <c r="B26" s="321">
        <v>3096</v>
      </c>
      <c r="C26" s="321">
        <v>441</v>
      </c>
      <c r="D26" s="321">
        <v>-7510</v>
      </c>
      <c r="E26" s="321">
        <v>36161</v>
      </c>
    </row>
    <row r="27" spans="1:5" x14ac:dyDescent="0.15">
      <c r="A27" s="252" t="s">
        <v>335</v>
      </c>
      <c r="B27" s="319">
        <v>-277371</v>
      </c>
      <c r="C27" s="319">
        <v>-52827</v>
      </c>
      <c r="D27" s="319">
        <v>-194081</v>
      </c>
      <c r="E27" s="319"/>
    </row>
    <row r="28" spans="1:5" x14ac:dyDescent="0.15">
      <c r="A28" s="252" t="s">
        <v>336</v>
      </c>
      <c r="B28" s="321"/>
      <c r="C28" s="321"/>
      <c r="D28" s="321"/>
      <c r="E28" s="321">
        <v>-201261</v>
      </c>
    </row>
    <row r="29" spans="1:5" x14ac:dyDescent="0.15">
      <c r="A29" s="252" t="s">
        <v>337</v>
      </c>
      <c r="B29" s="319">
        <v>673</v>
      </c>
      <c r="C29" s="319">
        <v>620</v>
      </c>
      <c r="D29" s="319">
        <v>1242</v>
      </c>
      <c r="E29" s="319">
        <v>3486</v>
      </c>
    </row>
    <row r="30" spans="1:5" x14ac:dyDescent="0.15">
      <c r="A30" s="252" t="s">
        <v>338</v>
      </c>
      <c r="B30" s="321">
        <v>155079</v>
      </c>
      <c r="C30" s="321">
        <v>28045</v>
      </c>
      <c r="D30" s="321">
        <v>35330</v>
      </c>
      <c r="E30" s="321">
        <v>69460</v>
      </c>
    </row>
    <row r="31" spans="1:5" x14ac:dyDescent="0.15">
      <c r="A31" s="252" t="s">
        <v>339</v>
      </c>
      <c r="B31" s="319">
        <v>78500</v>
      </c>
      <c r="C31" s="319">
        <v>35710</v>
      </c>
      <c r="D31" s="319">
        <v>9685</v>
      </c>
      <c r="E31" s="319">
        <v>148886</v>
      </c>
    </row>
    <row r="32" spans="1:5" x14ac:dyDescent="0.15">
      <c r="A32" s="322" t="s">
        <v>340</v>
      </c>
      <c r="B32" s="321">
        <v>801006</v>
      </c>
      <c r="C32" s="321">
        <v>1710241</v>
      </c>
      <c r="D32" s="321">
        <v>1868137</v>
      </c>
      <c r="E32" s="321">
        <v>2971083</v>
      </c>
    </row>
    <row r="33" spans="1:5" x14ac:dyDescent="0.15">
      <c r="A33" s="252" t="s">
        <v>341</v>
      </c>
      <c r="B33" s="319">
        <v>-159017</v>
      </c>
      <c r="C33" s="319">
        <v>-296180</v>
      </c>
      <c r="D33" s="319">
        <v>-468421</v>
      </c>
      <c r="E33" s="319">
        <v>-582690</v>
      </c>
    </row>
    <row r="34" spans="1:5" x14ac:dyDescent="0.15">
      <c r="A34" s="322" t="s">
        <v>121</v>
      </c>
      <c r="B34" s="321">
        <v>641989</v>
      </c>
      <c r="C34" s="321">
        <v>1414061</v>
      </c>
      <c r="D34" s="321">
        <v>1399716</v>
      </c>
      <c r="E34" s="321">
        <v>2388393</v>
      </c>
    </row>
    <row r="35" spans="1:5" x14ac:dyDescent="0.15">
      <c r="A35" s="252" t="s">
        <v>342</v>
      </c>
      <c r="B35" s="319">
        <v>12241</v>
      </c>
      <c r="C35" s="319">
        <v>5173</v>
      </c>
      <c r="D35" s="319">
        <v>8381</v>
      </c>
      <c r="E35" s="319">
        <v>25846</v>
      </c>
    </row>
    <row r="36" spans="1:5" x14ac:dyDescent="0.15">
      <c r="A36" s="252" t="s">
        <v>343</v>
      </c>
      <c r="B36" s="321"/>
      <c r="C36" s="321"/>
      <c r="D36" s="321">
        <v>-4000</v>
      </c>
      <c r="E36" s="321"/>
    </row>
    <row r="37" spans="1:5" x14ac:dyDescent="0.15">
      <c r="A37" s="252" t="s">
        <v>344</v>
      </c>
      <c r="B37" s="319">
        <v>-10657</v>
      </c>
      <c r="C37" s="319">
        <v>-27437</v>
      </c>
      <c r="D37" s="319">
        <v>-254121</v>
      </c>
      <c r="E37" s="319">
        <v>-77305</v>
      </c>
    </row>
    <row r="38" spans="1:5" x14ac:dyDescent="0.15">
      <c r="A38" s="252" t="s">
        <v>345</v>
      </c>
      <c r="B38" s="321"/>
      <c r="C38" s="321"/>
      <c r="D38" s="321">
        <v>35076</v>
      </c>
      <c r="E38" s="321">
        <v>46500</v>
      </c>
    </row>
    <row r="39" spans="1:5" x14ac:dyDescent="0.15">
      <c r="A39" s="252" t="s">
        <v>346</v>
      </c>
      <c r="B39" s="319">
        <v>-399925</v>
      </c>
      <c r="C39" s="319">
        <v>-429466</v>
      </c>
      <c r="D39" s="319">
        <v>-1242904</v>
      </c>
      <c r="E39" s="319">
        <v>-2511749</v>
      </c>
    </row>
    <row r="40" spans="1:5" x14ac:dyDescent="0.15">
      <c r="A40" s="252" t="s">
        <v>347</v>
      </c>
      <c r="B40" s="321">
        <v>-56494</v>
      </c>
      <c r="C40" s="321">
        <v>-841900</v>
      </c>
      <c r="D40" s="321">
        <v>-221609</v>
      </c>
      <c r="E40" s="321">
        <v>-12585</v>
      </c>
    </row>
    <row r="41" spans="1:5" x14ac:dyDescent="0.15">
      <c r="A41" s="252" t="s">
        <v>348</v>
      </c>
      <c r="B41" s="319">
        <v>194</v>
      </c>
      <c r="C41" s="319">
        <v>398</v>
      </c>
      <c r="D41" s="319">
        <v>1250</v>
      </c>
      <c r="E41" s="319"/>
    </row>
    <row r="42" spans="1:5" x14ac:dyDescent="0.15">
      <c r="A42" s="252" t="s">
        <v>349</v>
      </c>
      <c r="B42" s="321"/>
      <c r="C42" s="321"/>
      <c r="D42" s="321"/>
      <c r="E42" s="321"/>
    </row>
    <row r="43" spans="1:5" x14ac:dyDescent="0.15">
      <c r="A43" s="252" t="s">
        <v>350</v>
      </c>
      <c r="B43" s="319"/>
      <c r="C43" s="319"/>
      <c r="D43" s="319"/>
      <c r="E43" s="319">
        <v>21220</v>
      </c>
    </row>
    <row r="44" spans="1:5" x14ac:dyDescent="0.15">
      <c r="A44" s="252" t="s">
        <v>351</v>
      </c>
      <c r="B44" s="321">
        <v>590</v>
      </c>
      <c r="C44" s="321">
        <v>890047</v>
      </c>
      <c r="D44" s="321">
        <v>182162</v>
      </c>
      <c r="E44" s="321">
        <v>47846</v>
      </c>
    </row>
    <row r="45" spans="1:5" x14ac:dyDescent="0.15">
      <c r="A45" s="252" t="s">
        <v>352</v>
      </c>
      <c r="B45" s="319"/>
      <c r="C45" s="319"/>
      <c r="D45" s="319"/>
      <c r="E45" s="319">
        <v>321</v>
      </c>
    </row>
    <row r="46" spans="1:5" x14ac:dyDescent="0.15">
      <c r="A46" s="252" t="s">
        <v>353</v>
      </c>
      <c r="B46" s="321">
        <v>4713</v>
      </c>
      <c r="C46" s="321">
        <v>26874</v>
      </c>
      <c r="D46" s="321">
        <v>246123</v>
      </c>
      <c r="E46" s="321">
        <v>92699</v>
      </c>
    </row>
    <row r="47" spans="1:5" x14ac:dyDescent="0.15">
      <c r="A47" s="252" t="s">
        <v>354</v>
      </c>
      <c r="B47" s="319"/>
      <c r="C47" s="319"/>
      <c r="D47" s="319"/>
      <c r="E47" s="319"/>
    </row>
    <row r="48" spans="1:5" x14ac:dyDescent="0.15">
      <c r="A48" s="252" t="s">
        <v>355</v>
      </c>
      <c r="B48" s="321"/>
      <c r="C48" s="321"/>
      <c r="D48" s="321"/>
      <c r="E48" s="321">
        <v>-67694</v>
      </c>
    </row>
    <row r="49" spans="1:5" x14ac:dyDescent="0.15">
      <c r="A49" s="252" t="s">
        <v>356</v>
      </c>
      <c r="B49" s="319"/>
      <c r="C49" s="319"/>
      <c r="D49" s="319"/>
      <c r="E49" s="319"/>
    </row>
    <row r="50" spans="1:5" x14ac:dyDescent="0.15">
      <c r="A50" s="252" t="s">
        <v>357</v>
      </c>
      <c r="B50" s="321"/>
      <c r="C50" s="321"/>
      <c r="D50" s="321"/>
      <c r="E50" s="321"/>
    </row>
    <row r="51" spans="1:5" x14ac:dyDescent="0.15">
      <c r="A51" s="252" t="s">
        <v>358</v>
      </c>
      <c r="B51" s="319"/>
      <c r="C51" s="319"/>
      <c r="D51" s="319"/>
      <c r="E51" s="319"/>
    </row>
    <row r="52" spans="1:5" x14ac:dyDescent="0.15">
      <c r="A52" s="252" t="s">
        <v>359</v>
      </c>
      <c r="B52" s="321"/>
      <c r="C52" s="321"/>
      <c r="D52" s="321"/>
      <c r="E52" s="321"/>
    </row>
    <row r="53" spans="1:5" x14ac:dyDescent="0.15">
      <c r="A53" s="252" t="s">
        <v>360</v>
      </c>
      <c r="B53" s="319"/>
      <c r="C53" s="319"/>
      <c r="D53" s="319"/>
      <c r="E53" s="319"/>
    </row>
    <row r="54" spans="1:5" x14ac:dyDescent="0.15">
      <c r="A54" s="252" t="s">
        <v>361</v>
      </c>
      <c r="B54" s="321"/>
      <c r="C54" s="321"/>
      <c r="D54" s="321"/>
      <c r="E54" s="321"/>
    </row>
    <row r="55" spans="1:5" x14ac:dyDescent="0.15">
      <c r="A55" s="252" t="s">
        <v>362</v>
      </c>
      <c r="B55" s="319"/>
      <c r="C55" s="319"/>
      <c r="D55" s="319"/>
      <c r="E55" s="319"/>
    </row>
    <row r="56" spans="1:5" x14ac:dyDescent="0.15">
      <c r="A56" s="252" t="s">
        <v>363</v>
      </c>
      <c r="B56" s="321">
        <v>-12512</v>
      </c>
      <c r="C56" s="321">
        <v>-226</v>
      </c>
      <c r="D56" s="321">
        <v>-173</v>
      </c>
      <c r="E56" s="321">
        <v>-50806</v>
      </c>
    </row>
    <row r="57" spans="1:5" x14ac:dyDescent="0.15">
      <c r="A57" s="252" t="s">
        <v>364</v>
      </c>
      <c r="B57" s="319">
        <v>384203</v>
      </c>
      <c r="C57" s="319">
        <v>705574</v>
      </c>
      <c r="D57" s="319">
        <v>498211</v>
      </c>
      <c r="E57" s="319">
        <v>448532</v>
      </c>
    </row>
    <row r="58" spans="1:5" x14ac:dyDescent="0.15">
      <c r="A58" s="252" t="s">
        <v>365</v>
      </c>
      <c r="B58" s="321"/>
      <c r="C58" s="321"/>
      <c r="D58" s="321"/>
      <c r="E58" s="321"/>
    </row>
    <row r="59" spans="1:5" x14ac:dyDescent="0.15">
      <c r="A59" s="252" t="s">
        <v>366</v>
      </c>
      <c r="B59" s="319"/>
      <c r="C59" s="319"/>
      <c r="D59" s="319"/>
      <c r="E59" s="319"/>
    </row>
    <row r="60" spans="1:5" x14ac:dyDescent="0.15">
      <c r="A60" s="252" t="s">
        <v>367</v>
      </c>
      <c r="B60" s="321"/>
      <c r="C60" s="321"/>
      <c r="D60" s="321"/>
      <c r="E60" s="321"/>
    </row>
    <row r="61" spans="1:5" x14ac:dyDescent="0.15">
      <c r="A61" s="252" t="s">
        <v>368</v>
      </c>
      <c r="B61" s="319">
        <v>-836634</v>
      </c>
      <c r="C61" s="319">
        <v>-1575413</v>
      </c>
      <c r="D61" s="319">
        <v>-766751</v>
      </c>
      <c r="E61" s="319">
        <v>-4319</v>
      </c>
    </row>
    <row r="62" spans="1:5" x14ac:dyDescent="0.15">
      <c r="A62" s="252" t="s">
        <v>369</v>
      </c>
      <c r="B62" s="321"/>
      <c r="C62" s="321"/>
      <c r="D62" s="321"/>
      <c r="E62" s="321">
        <v>-1818748</v>
      </c>
    </row>
    <row r="63" spans="1:5" x14ac:dyDescent="0.15">
      <c r="A63" s="252" t="s">
        <v>370</v>
      </c>
      <c r="B63" s="319">
        <v>-1639</v>
      </c>
      <c r="C63" s="319">
        <v>-34500</v>
      </c>
      <c r="D63" s="319">
        <v>-46500</v>
      </c>
      <c r="E63" s="319">
        <v>-6833</v>
      </c>
    </row>
    <row r="64" spans="1:5" x14ac:dyDescent="0.15">
      <c r="A64" s="322" t="s">
        <v>122</v>
      </c>
      <c r="B64" s="321">
        <v>-915920</v>
      </c>
      <c r="C64" s="321">
        <v>-1280876</v>
      </c>
      <c r="D64" s="321">
        <v>-1564855</v>
      </c>
      <c r="E64" s="321">
        <v>-3867075</v>
      </c>
    </row>
    <row r="65" spans="1:5" x14ac:dyDescent="0.15">
      <c r="A65" s="252" t="s">
        <v>371</v>
      </c>
      <c r="B65" s="319">
        <v>-76563</v>
      </c>
      <c r="C65" s="319">
        <v>-104866</v>
      </c>
      <c r="D65" s="319">
        <v>-263902</v>
      </c>
      <c r="E65" s="319">
        <v>-836219</v>
      </c>
    </row>
    <row r="66" spans="1:5" x14ac:dyDescent="0.15">
      <c r="A66" s="252" t="s">
        <v>372</v>
      </c>
      <c r="B66" s="321"/>
      <c r="C66" s="321"/>
      <c r="D66" s="321"/>
      <c r="E66" s="321">
        <v>-460890</v>
      </c>
    </row>
    <row r="67" spans="1:5" x14ac:dyDescent="0.15">
      <c r="A67" s="252" t="s">
        <v>373</v>
      </c>
      <c r="B67" s="319">
        <v>234374</v>
      </c>
      <c r="C67" s="319">
        <v>269037</v>
      </c>
      <c r="D67" s="319">
        <v>42560</v>
      </c>
      <c r="E67" s="319">
        <v>889353</v>
      </c>
    </row>
    <row r="68" spans="1:5" x14ac:dyDescent="0.15">
      <c r="A68" s="252" t="s">
        <v>374</v>
      </c>
      <c r="B68" s="321">
        <v>5357</v>
      </c>
      <c r="C68" s="321"/>
      <c r="D68" s="321">
        <v>1492260</v>
      </c>
      <c r="E68" s="321">
        <v>712688</v>
      </c>
    </row>
    <row r="69" spans="1:5" x14ac:dyDescent="0.15">
      <c r="A69" s="252" t="s">
        <v>375</v>
      </c>
      <c r="B69" s="319"/>
      <c r="C69" s="319"/>
      <c r="D69" s="319"/>
      <c r="E69" s="319"/>
    </row>
    <row r="70" spans="1:5" x14ac:dyDescent="0.15">
      <c r="A70" s="252" t="s">
        <v>376</v>
      </c>
      <c r="B70" s="321"/>
      <c r="C70" s="321"/>
      <c r="D70" s="321"/>
      <c r="E70" s="321"/>
    </row>
    <row r="71" spans="1:5" x14ac:dyDescent="0.15">
      <c r="A71" s="252" t="s">
        <v>377</v>
      </c>
      <c r="B71" s="319"/>
      <c r="C71" s="319"/>
      <c r="D71" s="319">
        <v>107</v>
      </c>
      <c r="E71" s="319">
        <v>6632014</v>
      </c>
    </row>
    <row r="72" spans="1:5" x14ac:dyDescent="0.15">
      <c r="A72" s="252" t="s">
        <v>378</v>
      </c>
      <c r="B72" s="321"/>
      <c r="C72" s="321">
        <v>-56</v>
      </c>
      <c r="D72" s="321">
        <v>-796778</v>
      </c>
      <c r="E72" s="321">
        <v>-1428472</v>
      </c>
    </row>
    <row r="73" spans="1:5" x14ac:dyDescent="0.15">
      <c r="A73" s="252" t="s">
        <v>379</v>
      </c>
      <c r="B73" s="319">
        <v>-13088</v>
      </c>
      <c r="C73" s="319">
        <v>-67</v>
      </c>
      <c r="D73" s="319">
        <v>-370623</v>
      </c>
      <c r="E73" s="319"/>
    </row>
    <row r="74" spans="1:5" x14ac:dyDescent="0.15">
      <c r="A74" s="252" t="s">
        <v>380</v>
      </c>
      <c r="B74" s="321"/>
      <c r="C74" s="321"/>
      <c r="D74" s="321"/>
      <c r="E74" s="321"/>
    </row>
    <row r="75" spans="1:5" x14ac:dyDescent="0.15">
      <c r="A75" s="252" t="s">
        <v>381</v>
      </c>
      <c r="B75" s="319"/>
      <c r="C75" s="319"/>
      <c r="D75" s="319"/>
      <c r="E75" s="319"/>
    </row>
    <row r="76" spans="1:5" x14ac:dyDescent="0.15">
      <c r="A76" s="252" t="s">
        <v>382</v>
      </c>
      <c r="B76" s="321"/>
      <c r="C76" s="321"/>
      <c r="D76" s="321"/>
      <c r="E76" s="321">
        <v>-137264</v>
      </c>
    </row>
    <row r="77" spans="1:5" x14ac:dyDescent="0.15">
      <c r="A77" s="252" t="s">
        <v>383</v>
      </c>
      <c r="B77" s="319">
        <v>11547</v>
      </c>
      <c r="C77" s="319">
        <v>1000</v>
      </c>
      <c r="D77" s="319">
        <v>10000</v>
      </c>
      <c r="E77" s="319"/>
    </row>
    <row r="78" spans="1:5" x14ac:dyDescent="0.15">
      <c r="A78" s="252" t="s">
        <v>384</v>
      </c>
      <c r="B78" s="321">
        <v>-3036</v>
      </c>
      <c r="C78" s="321">
        <v>-7313</v>
      </c>
      <c r="D78" s="321">
        <v>-8681</v>
      </c>
      <c r="E78" s="321">
        <v>-31812</v>
      </c>
    </row>
    <row r="79" spans="1:5" x14ac:dyDescent="0.15">
      <c r="A79" s="322" t="s">
        <v>385</v>
      </c>
      <c r="B79" s="319">
        <v>158591</v>
      </c>
      <c r="C79" s="319">
        <v>157735</v>
      </c>
      <c r="D79" s="319">
        <v>104943</v>
      </c>
      <c r="E79" s="319">
        <v>5339398</v>
      </c>
    </row>
    <row r="80" spans="1:5" x14ac:dyDescent="0.15">
      <c r="A80" s="322" t="s">
        <v>65</v>
      </c>
      <c r="B80" s="321">
        <v>-115340</v>
      </c>
      <c r="C80" s="321">
        <v>290920</v>
      </c>
      <c r="D80" s="321">
        <v>-60196</v>
      </c>
      <c r="E80" s="321">
        <v>3860716</v>
      </c>
    </row>
    <row r="81" spans="1:5" x14ac:dyDescent="0.15">
      <c r="A81" s="322" t="s">
        <v>386</v>
      </c>
      <c r="B81" s="319">
        <v>-24140</v>
      </c>
      <c r="C81" s="319">
        <v>-41479</v>
      </c>
      <c r="D81" s="319">
        <v>-32307</v>
      </c>
      <c r="E81" s="319"/>
    </row>
    <row r="82" spans="1:5" x14ac:dyDescent="0.15">
      <c r="A82" s="322" t="s">
        <v>387</v>
      </c>
      <c r="B82" s="321">
        <v>297128</v>
      </c>
      <c r="C82" s="321">
        <v>157595</v>
      </c>
      <c r="D82" s="321">
        <v>406876</v>
      </c>
      <c r="E82" s="321">
        <v>282032</v>
      </c>
    </row>
    <row r="83" spans="1:5" x14ac:dyDescent="0.15">
      <c r="A83" s="322" t="s">
        <v>64</v>
      </c>
      <c r="B83" s="319">
        <v>-53</v>
      </c>
      <c r="C83" s="319">
        <v>-160</v>
      </c>
      <c r="D83" s="319">
        <v>-32341</v>
      </c>
      <c r="E83" s="319">
        <v>-24125</v>
      </c>
    </row>
    <row r="84" spans="1:5" x14ac:dyDescent="0.15">
      <c r="A84" s="322" t="s">
        <v>388</v>
      </c>
      <c r="B84" s="321">
        <v>157595</v>
      </c>
      <c r="C84" s="321">
        <v>406876</v>
      </c>
      <c r="D84" s="321">
        <v>282032</v>
      </c>
      <c r="E84" s="321">
        <v>4118623</v>
      </c>
    </row>
  </sheetData>
  <phoneticPr fontId="3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B1:Q109"/>
  <sheetViews>
    <sheetView showGridLines="0" zoomScale="85" zoomScaleNormal="85" workbookViewId="0">
      <pane xSplit="3" ySplit="3" topLeftCell="D13" activePane="bottomRight" state="frozen"/>
      <selection pane="topRight"/>
      <selection pane="bottomLeft"/>
      <selection pane="bottomRight" activeCell="J47" sqref="J47:M55"/>
    </sheetView>
  </sheetViews>
  <sheetFormatPr defaultColWidth="8.875" defaultRowHeight="13.5" x14ac:dyDescent="0.15"/>
  <cols>
    <col min="1" max="1" width="4.125" style="134" customWidth="1"/>
    <col min="2" max="2" width="0.875" style="134" customWidth="1"/>
    <col min="3" max="3" width="44.875" style="134" customWidth="1"/>
    <col min="4" max="12" width="12.75" style="134" customWidth="1"/>
    <col min="13" max="13" width="12.625" style="134" customWidth="1"/>
    <col min="14" max="14" width="0.875" style="134" customWidth="1"/>
    <col min="15" max="15" width="10.5" style="134" bestFit="1" customWidth="1"/>
    <col min="16" max="16384" width="8.875" style="134"/>
  </cols>
  <sheetData>
    <row r="1" spans="2:17" s="195" customFormat="1" ht="12" customHeight="1" x14ac:dyDescent="0.15"/>
    <row r="2" spans="2:17" s="196" customFormat="1" ht="12" customHeight="1" x14ac:dyDescent="0.2">
      <c r="C2" s="197"/>
      <c r="G2" s="198"/>
    </row>
    <row r="3" spans="2:17" s="196" customFormat="1" ht="12" customHeight="1" x14ac:dyDescent="0.2">
      <c r="C3" s="199"/>
      <c r="D3" s="200"/>
      <c r="E3" s="200"/>
      <c r="F3" s="200"/>
      <c r="G3" s="200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2:17" s="1" customFormat="1" ht="23.1" customHeight="1" x14ac:dyDescent="0.2">
      <c r="C4" s="2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1" customFormat="1" ht="6" customHeight="1" x14ac:dyDescent="0.2">
      <c r="B5" s="196"/>
      <c r="C5" s="199"/>
      <c r="D5" s="200"/>
      <c r="E5" s="200"/>
      <c r="F5" s="200"/>
      <c r="G5" s="200"/>
      <c r="H5" s="201"/>
      <c r="I5" s="201"/>
      <c r="J5" s="201"/>
      <c r="K5" s="201"/>
      <c r="L5" s="201"/>
      <c r="M5" s="201"/>
      <c r="N5" s="201"/>
      <c r="O5" s="4"/>
      <c r="P5" s="4"/>
      <c r="Q5" s="4"/>
    </row>
    <row r="6" spans="2:17" s="110" customFormat="1" ht="24.95" customHeight="1" x14ac:dyDescent="0.15">
      <c r="B6" s="202"/>
      <c r="C6" s="261" t="s">
        <v>439</v>
      </c>
      <c r="D6" s="217">
        <v>2015</v>
      </c>
      <c r="E6" s="217">
        <v>2016</v>
      </c>
      <c r="F6" s="217">
        <v>2017</v>
      </c>
      <c r="G6" s="217">
        <v>2018</v>
      </c>
      <c r="H6" s="217" t="s">
        <v>66</v>
      </c>
      <c r="I6" s="217" t="s">
        <v>23</v>
      </c>
      <c r="J6" s="217" t="s">
        <v>24</v>
      </c>
      <c r="K6" s="217" t="s">
        <v>25</v>
      </c>
      <c r="L6" s="217" t="s">
        <v>26</v>
      </c>
      <c r="M6" s="217" t="s">
        <v>27</v>
      </c>
      <c r="N6" s="202"/>
    </row>
    <row r="7" spans="2:17" s="110" customFormat="1" ht="24.95" customHeight="1" x14ac:dyDescent="0.15">
      <c r="B7" s="202"/>
      <c r="C7" s="119" t="s">
        <v>67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202"/>
    </row>
    <row r="8" spans="2:17" s="110" customFormat="1" ht="24.95" customHeight="1" x14ac:dyDescent="0.15">
      <c r="B8" s="202"/>
      <c r="C8" s="104" t="s">
        <v>431</v>
      </c>
      <c r="D8" s="136">
        <f>IS!D7/BS!D24</f>
        <v>32.806654015147629</v>
      </c>
      <c r="E8" s="136">
        <f>IS!E7/BS!E24</f>
        <v>31.651326830929388</v>
      </c>
      <c r="F8" s="136">
        <f>IS!F7/BS!F24</f>
        <v>21.37626201729848</v>
      </c>
      <c r="G8" s="136">
        <f>IS!G7/BS!G24</f>
        <v>20.078971220586947</v>
      </c>
      <c r="H8" s="136">
        <f>AVERAGE(D8:G8)</f>
        <v>26.478303520990611</v>
      </c>
      <c r="I8" s="140">
        <f>G8</f>
        <v>20.078971220586947</v>
      </c>
      <c r="J8" s="140">
        <f>I8</f>
        <v>20.078971220586947</v>
      </c>
      <c r="K8" s="140">
        <f t="shared" ref="K8:M8" si="0">J8</f>
        <v>20.078971220586947</v>
      </c>
      <c r="L8" s="140">
        <f t="shared" si="0"/>
        <v>20.078971220586947</v>
      </c>
      <c r="M8" s="140">
        <f t="shared" si="0"/>
        <v>20.078971220586947</v>
      </c>
      <c r="N8" s="202"/>
    </row>
    <row r="9" spans="2:17" s="110" customFormat="1" ht="24.95" customHeight="1" x14ac:dyDescent="0.15">
      <c r="B9" s="202"/>
      <c r="C9" s="104" t="s">
        <v>433</v>
      </c>
      <c r="D9" s="136">
        <f>IS!D7/BS!D25</f>
        <v>7.6926434115156832</v>
      </c>
      <c r="E9" s="136">
        <f>IS!E7/BS!E25</f>
        <v>15.545665237076946</v>
      </c>
      <c r="F9" s="136">
        <f>IS!F7/BS!F25</f>
        <v>23.946102432841901</v>
      </c>
      <c r="G9" s="136">
        <f>IS!G7/BS!G25</f>
        <v>84.313900855108542</v>
      </c>
      <c r="H9" s="136">
        <f>AVERAGE(D9:G9)</f>
        <v>32.874577984135769</v>
      </c>
      <c r="I9" s="140">
        <f>G9</f>
        <v>84.313900855108542</v>
      </c>
      <c r="J9" s="140">
        <f>I9</f>
        <v>84.313900855108542</v>
      </c>
      <c r="K9" s="140">
        <f t="shared" ref="K9:M10" si="1">J9</f>
        <v>84.313900855108542</v>
      </c>
      <c r="L9" s="140">
        <f t="shared" si="1"/>
        <v>84.313900855108542</v>
      </c>
      <c r="M9" s="140">
        <f t="shared" si="1"/>
        <v>84.313900855108542</v>
      </c>
      <c r="N9" s="202"/>
    </row>
    <row r="10" spans="2:17" s="110" customFormat="1" ht="24.95" customHeight="1" x14ac:dyDescent="0.15">
      <c r="B10" s="202"/>
      <c r="C10" s="104" t="s">
        <v>68</v>
      </c>
      <c r="D10" s="136">
        <f>业务模型!B4/BS!D23</f>
        <v>111.70428622914889</v>
      </c>
      <c r="E10" s="136">
        <f>业务模型!C4/BS!E23</f>
        <v>117.40387633532499</v>
      </c>
      <c r="F10" s="136">
        <f>业务模型!D4/BS!F23</f>
        <v>87.28649820223302</v>
      </c>
      <c r="G10" s="136">
        <f>业务模型!E4/BS!G23</f>
        <v>29.728270908987493</v>
      </c>
      <c r="H10" s="136">
        <f t="shared" ref="H10" si="2">AVERAGE(D10:G10)</f>
        <v>86.530732918923604</v>
      </c>
      <c r="I10" s="140">
        <f>G10</f>
        <v>29.728270908987493</v>
      </c>
      <c r="J10" s="140">
        <f>I10</f>
        <v>29.728270908987493</v>
      </c>
      <c r="K10" s="140">
        <f t="shared" si="1"/>
        <v>29.728270908987493</v>
      </c>
      <c r="L10" s="140">
        <f t="shared" si="1"/>
        <v>29.728270908987493</v>
      </c>
      <c r="M10" s="140">
        <f t="shared" si="1"/>
        <v>29.728270908987493</v>
      </c>
      <c r="N10" s="202"/>
    </row>
    <row r="11" spans="2:17" s="132" customFormat="1" ht="24.95" customHeight="1" x14ac:dyDescent="0.15">
      <c r="B11" s="202"/>
      <c r="C11" s="425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202"/>
    </row>
    <row r="12" spans="2:17" s="110" customFormat="1" ht="24.95" customHeight="1" x14ac:dyDescent="0.15">
      <c r="B12" s="202"/>
      <c r="C12" s="119" t="s">
        <v>69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202"/>
    </row>
    <row r="13" spans="2:17" s="132" customFormat="1" ht="24.95" customHeight="1" x14ac:dyDescent="0.15">
      <c r="B13" s="202"/>
      <c r="C13" s="425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202"/>
    </row>
    <row r="14" spans="2:17" s="110" customFormat="1" ht="24.95" customHeight="1" x14ac:dyDescent="0.15">
      <c r="B14" s="202"/>
      <c r="C14" s="119" t="s">
        <v>70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202"/>
    </row>
    <row r="15" spans="2:17" s="110" customFormat="1" ht="24.95" customHeight="1" x14ac:dyDescent="0.15">
      <c r="B15" s="202"/>
      <c r="C15" s="104" t="s">
        <v>435</v>
      </c>
      <c r="D15" s="136">
        <f>业务模型!B4/BS!D32</f>
        <v>45.746933480931858</v>
      </c>
      <c r="E15" s="136">
        <f>业务模型!C4/BS!E32</f>
        <v>48.725823934606908</v>
      </c>
      <c r="F15" s="136">
        <f>业务模型!D4/BS!F32</f>
        <v>49.209141448206779</v>
      </c>
      <c r="G15" s="136">
        <f>业务模型!E4/BS!G32</f>
        <v>18.632914286850362</v>
      </c>
      <c r="H15" s="136">
        <f>AVERAGE(D15:G15)</f>
        <v>40.578703287648977</v>
      </c>
      <c r="I15" s="140">
        <f>G15</f>
        <v>18.632914286850362</v>
      </c>
      <c r="J15" s="140">
        <f>I15</f>
        <v>18.632914286850362</v>
      </c>
      <c r="K15" s="140">
        <f t="shared" ref="K15:M17" si="3">J15</f>
        <v>18.632914286850362</v>
      </c>
      <c r="L15" s="140">
        <f t="shared" si="3"/>
        <v>18.632914286850362</v>
      </c>
      <c r="M15" s="140">
        <f t="shared" si="3"/>
        <v>18.632914286850362</v>
      </c>
      <c r="N15" s="202"/>
    </row>
    <row r="16" spans="2:17" s="110" customFormat="1" ht="24.95" customHeight="1" x14ac:dyDescent="0.15">
      <c r="B16" s="202"/>
      <c r="C16" s="104" t="s">
        <v>436</v>
      </c>
      <c r="D16" s="136">
        <f>业务模型!B4/BS!D33</f>
        <v>16.109742869886176</v>
      </c>
      <c r="E16" s="136">
        <f>业务模型!C4/BS!E33</f>
        <v>16.033327419988513</v>
      </c>
      <c r="F16" s="136">
        <f>业务模型!D4/BS!F33</f>
        <v>16.256017574671798</v>
      </c>
      <c r="G16" s="136">
        <f>业务模型!E4/BS!G33</f>
        <v>14.991776960805945</v>
      </c>
      <c r="H16" s="136">
        <f t="shared" ref="H16:H17" si="4">AVERAGE(D16:G16)</f>
        <v>15.847716206338108</v>
      </c>
      <c r="I16" s="140">
        <f>G16</f>
        <v>14.991776960805945</v>
      </c>
      <c r="J16" s="140">
        <f>I16</f>
        <v>14.991776960805945</v>
      </c>
      <c r="K16" s="140">
        <f t="shared" si="3"/>
        <v>14.991776960805945</v>
      </c>
      <c r="L16" s="140">
        <f t="shared" si="3"/>
        <v>14.991776960805945</v>
      </c>
      <c r="M16" s="140">
        <f t="shared" si="3"/>
        <v>14.991776960805945</v>
      </c>
      <c r="N16" s="202"/>
    </row>
    <row r="17" spans="2:17" s="110" customFormat="1" ht="24.95" customHeight="1" x14ac:dyDescent="0.15">
      <c r="B17" s="202"/>
      <c r="C17" s="104" t="s">
        <v>438</v>
      </c>
      <c r="D17" s="136">
        <f>业务模型!B4/BS!D34</f>
        <v>29.725027469073797</v>
      </c>
      <c r="E17" s="136">
        <f>业务模型!C4/BS!E34</f>
        <v>27.461916100797627</v>
      </c>
      <c r="F17" s="136">
        <f>业务模型!D4/BS!F34</f>
        <v>6.9038749230825518</v>
      </c>
      <c r="G17" s="136">
        <f>业务模型!E4/BS!G34</f>
        <v>22.92956724310443</v>
      </c>
      <c r="H17" s="136">
        <f t="shared" si="4"/>
        <v>21.7550964340146</v>
      </c>
      <c r="I17" s="140">
        <f>H17</f>
        <v>21.7550964340146</v>
      </c>
      <c r="J17" s="140">
        <f>I17</f>
        <v>21.7550964340146</v>
      </c>
      <c r="K17" s="140">
        <f t="shared" si="3"/>
        <v>21.7550964340146</v>
      </c>
      <c r="L17" s="140">
        <f t="shared" si="3"/>
        <v>21.7550964340146</v>
      </c>
      <c r="M17" s="140">
        <f t="shared" si="3"/>
        <v>21.7550964340146</v>
      </c>
      <c r="N17" s="202"/>
    </row>
    <row r="18" spans="2:17" s="132" customFormat="1" ht="24.95" customHeight="1" x14ac:dyDescent="0.15">
      <c r="B18" s="202"/>
      <c r="C18" s="425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202"/>
    </row>
    <row r="19" spans="2:17" s="110" customFormat="1" ht="24.95" customHeight="1" x14ac:dyDescent="0.15">
      <c r="B19" s="202"/>
      <c r="C19" s="119" t="s">
        <v>71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202"/>
    </row>
    <row r="20" spans="2:17" ht="6" customHeight="1" x14ac:dyDescent="0.15"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</row>
    <row r="21" spans="2:17" x14ac:dyDescent="0.15">
      <c r="B21" s="133"/>
    </row>
    <row r="22" spans="2:17" x14ac:dyDescent="0.15">
      <c r="B22" s="133"/>
    </row>
    <row r="23" spans="2:17" s="1" customFormat="1" ht="6" customHeight="1" x14ac:dyDescent="0.2">
      <c r="B23" s="196"/>
      <c r="C23" s="199"/>
      <c r="D23" s="200"/>
      <c r="E23" s="200"/>
      <c r="F23" s="200"/>
      <c r="G23" s="200"/>
      <c r="H23" s="201"/>
      <c r="I23" s="201"/>
      <c r="J23" s="201"/>
      <c r="K23" s="201"/>
      <c r="L23" s="201"/>
      <c r="M23" s="201"/>
      <c r="N23" s="201"/>
      <c r="O23" s="4"/>
      <c r="P23" s="4"/>
      <c r="Q23" s="4"/>
    </row>
    <row r="24" spans="2:17" s="110" customFormat="1" ht="24.95" customHeight="1" x14ac:dyDescent="0.15">
      <c r="B24" s="202"/>
      <c r="C24" s="261" t="s">
        <v>443</v>
      </c>
      <c r="D24" s="217">
        <v>2015</v>
      </c>
      <c r="E24" s="217">
        <v>2016</v>
      </c>
      <c r="F24" s="217">
        <v>2017</v>
      </c>
      <c r="G24" s="217">
        <v>2018</v>
      </c>
      <c r="H24" s="217" t="s">
        <v>66</v>
      </c>
      <c r="I24" s="217" t="s">
        <v>23</v>
      </c>
      <c r="J24" s="217" t="s">
        <v>24</v>
      </c>
      <c r="K24" s="217" t="s">
        <v>25</v>
      </c>
      <c r="L24" s="217" t="s">
        <v>26</v>
      </c>
      <c r="M24" s="217" t="s">
        <v>27</v>
      </c>
      <c r="N24" s="202"/>
    </row>
    <row r="25" spans="2:17" s="110" customFormat="1" ht="24.95" customHeight="1" x14ac:dyDescent="0.15">
      <c r="B25" s="202"/>
      <c r="C25" s="119" t="s">
        <v>440</v>
      </c>
      <c r="N25" s="202"/>
    </row>
    <row r="26" spans="2:17" s="110" customFormat="1" ht="24.95" customHeight="1" x14ac:dyDescent="0.15">
      <c r="B26" s="202"/>
      <c r="C26" s="104" t="s">
        <v>72</v>
      </c>
      <c r="D26" s="138">
        <v>3333340</v>
      </c>
      <c r="E26" s="138">
        <v>3333340</v>
      </c>
      <c r="F26" s="138">
        <v>3333340</v>
      </c>
      <c r="G26" s="138">
        <v>5300000</v>
      </c>
      <c r="H26" s="324"/>
      <c r="I26" s="141">
        <v>5300000</v>
      </c>
      <c r="J26" s="141">
        <v>5300000</v>
      </c>
      <c r="K26" s="141">
        <v>5300000</v>
      </c>
      <c r="L26" s="141">
        <v>5300000</v>
      </c>
      <c r="M26" s="141">
        <v>5300000</v>
      </c>
      <c r="N26" s="202"/>
    </row>
    <row r="27" spans="2:17" s="110" customFormat="1" ht="24.95" customHeight="1" x14ac:dyDescent="0.15">
      <c r="B27" s="202"/>
      <c r="C27" s="427"/>
      <c r="D27" s="428"/>
      <c r="E27" s="428"/>
      <c r="F27" s="428"/>
      <c r="G27" s="428"/>
      <c r="H27" s="428"/>
      <c r="I27" s="428"/>
      <c r="J27" s="428"/>
      <c r="K27" s="428"/>
      <c r="L27" s="428"/>
      <c r="M27" s="429"/>
      <c r="N27" s="202"/>
      <c r="O27" s="332"/>
    </row>
    <row r="28" spans="2:17" s="110" customFormat="1" ht="24.95" customHeight="1" x14ac:dyDescent="0.15">
      <c r="B28" s="202"/>
      <c r="C28" s="119" t="s">
        <v>73</v>
      </c>
      <c r="D28" s="137"/>
      <c r="E28" s="137"/>
      <c r="F28" s="137"/>
      <c r="G28" s="137"/>
      <c r="H28" s="135"/>
      <c r="I28" s="137"/>
      <c r="J28" s="137"/>
      <c r="K28" s="137"/>
      <c r="L28" s="137"/>
      <c r="M28" s="137"/>
      <c r="N28" s="202"/>
    </row>
    <row r="29" spans="2:17" s="110" customFormat="1" ht="24.95" customHeight="1" x14ac:dyDescent="0.15">
      <c r="B29" s="202"/>
      <c r="C29" s="104" t="s">
        <v>74</v>
      </c>
      <c r="D29" s="105"/>
      <c r="E29" s="105"/>
      <c r="F29" s="105"/>
      <c r="G29" s="105"/>
      <c r="H29" s="176"/>
      <c r="I29" s="123"/>
      <c r="J29" s="123"/>
      <c r="K29" s="123"/>
      <c r="L29" s="123"/>
      <c r="M29" s="123"/>
      <c r="N29" s="202"/>
    </row>
    <row r="30" spans="2:17" s="110" customFormat="1" ht="24.95" customHeight="1" x14ac:dyDescent="0.15">
      <c r="B30" s="202"/>
      <c r="C30" s="427"/>
      <c r="D30" s="428"/>
      <c r="E30" s="428"/>
      <c r="F30" s="428"/>
      <c r="G30" s="428"/>
      <c r="H30" s="428"/>
      <c r="I30" s="428"/>
      <c r="J30" s="428"/>
      <c r="K30" s="428"/>
      <c r="L30" s="428"/>
      <c r="M30" s="429"/>
      <c r="N30" s="202"/>
    </row>
    <row r="31" spans="2:17" s="110" customFormat="1" ht="24.95" customHeight="1" x14ac:dyDescent="0.15">
      <c r="B31" s="202"/>
      <c r="C31" s="119" t="s">
        <v>75</v>
      </c>
      <c r="D31" s="138">
        <v>0</v>
      </c>
      <c r="E31" s="138">
        <v>0</v>
      </c>
      <c r="F31" s="138">
        <v>0</v>
      </c>
      <c r="G31" s="138">
        <v>0</v>
      </c>
      <c r="H31" s="135"/>
      <c r="I31" s="141"/>
      <c r="J31" s="141"/>
      <c r="K31" s="141"/>
      <c r="L31" s="141"/>
      <c r="M31" s="141"/>
      <c r="N31" s="202"/>
    </row>
    <row r="32" spans="2:17" s="110" customFormat="1" ht="24.95" customHeight="1" x14ac:dyDescent="0.15">
      <c r="B32" s="202"/>
      <c r="C32" s="427"/>
      <c r="D32" s="428"/>
      <c r="E32" s="428"/>
      <c r="F32" s="428"/>
      <c r="G32" s="428"/>
      <c r="H32" s="428"/>
      <c r="I32" s="428"/>
      <c r="J32" s="428"/>
      <c r="K32" s="428"/>
      <c r="L32" s="428"/>
      <c r="M32" s="429"/>
      <c r="N32" s="202"/>
    </row>
    <row r="33" spans="2:17" s="110" customFormat="1" ht="24.95" customHeight="1" x14ac:dyDescent="0.15">
      <c r="B33" s="202"/>
      <c r="C33" s="119" t="s">
        <v>442</v>
      </c>
      <c r="D33" s="139"/>
      <c r="E33" s="139"/>
      <c r="F33" s="139"/>
      <c r="G33" s="139"/>
      <c r="H33" s="87"/>
      <c r="I33" s="139"/>
      <c r="J33" s="139"/>
      <c r="K33" s="139"/>
      <c r="L33" s="139"/>
      <c r="M33" s="142"/>
      <c r="N33" s="202"/>
    </row>
    <row r="34" spans="2:17" s="110" customFormat="1" ht="24.95" customHeight="1" x14ac:dyDescent="0.15">
      <c r="B34" s="202"/>
      <c r="C34" s="104" t="s">
        <v>76</v>
      </c>
      <c r="D34" s="137">
        <f>D26</f>
        <v>3333340</v>
      </c>
      <c r="E34" s="137">
        <f t="shared" ref="E34:G34" si="5">E26</f>
        <v>3333340</v>
      </c>
      <c r="F34" s="137">
        <f t="shared" si="5"/>
        <v>3333340</v>
      </c>
      <c r="G34" s="137">
        <f t="shared" si="5"/>
        <v>5300000</v>
      </c>
      <c r="H34" s="135"/>
      <c r="I34" s="141">
        <f>I26</f>
        <v>5300000</v>
      </c>
      <c r="J34" s="141">
        <f t="shared" ref="J34:M34" si="6">J26</f>
        <v>5300000</v>
      </c>
      <c r="K34" s="141">
        <f t="shared" si="6"/>
        <v>5300000</v>
      </c>
      <c r="L34" s="141">
        <f t="shared" si="6"/>
        <v>5300000</v>
      </c>
      <c r="M34" s="141">
        <f t="shared" si="6"/>
        <v>5300000</v>
      </c>
      <c r="N34" s="202"/>
    </row>
    <row r="35" spans="2:17" s="110" customFormat="1" ht="24.95" customHeight="1" x14ac:dyDescent="0.15">
      <c r="B35" s="202"/>
      <c r="C35" s="104" t="s">
        <v>77</v>
      </c>
      <c r="D35" s="137"/>
      <c r="E35" s="137"/>
      <c r="F35" s="137"/>
      <c r="G35" s="137"/>
      <c r="H35" s="135"/>
      <c r="I35" s="141">
        <f>I34+35230</f>
        <v>5335230</v>
      </c>
      <c r="J35" s="141">
        <f>I35</f>
        <v>5335230</v>
      </c>
      <c r="K35" s="141">
        <f t="shared" ref="K35:M35" si="7">J35</f>
        <v>5335230</v>
      </c>
      <c r="L35" s="141">
        <f t="shared" si="7"/>
        <v>5335230</v>
      </c>
      <c r="M35" s="141">
        <f t="shared" si="7"/>
        <v>5335230</v>
      </c>
      <c r="N35" s="202"/>
    </row>
    <row r="36" spans="2:17" s="110" customFormat="1" ht="24.95" hidden="1" customHeight="1" x14ac:dyDescent="0.15">
      <c r="B36" s="202"/>
      <c r="C36" s="104" t="s">
        <v>78</v>
      </c>
      <c r="D36" s="137"/>
      <c r="E36" s="137"/>
      <c r="F36" s="137"/>
      <c r="G36" s="137"/>
      <c r="H36" s="135"/>
      <c r="I36" s="141"/>
      <c r="J36" s="141"/>
      <c r="K36" s="141"/>
      <c r="L36" s="141"/>
      <c r="M36" s="141"/>
      <c r="N36" s="202"/>
    </row>
    <row r="37" spans="2:17" s="110" customFormat="1" ht="24.6" customHeight="1" x14ac:dyDescent="0.15">
      <c r="B37" s="202"/>
      <c r="C37" s="427"/>
      <c r="D37" s="428"/>
      <c r="E37" s="428"/>
      <c r="F37" s="428"/>
      <c r="G37" s="428"/>
      <c r="H37" s="428"/>
      <c r="I37" s="428"/>
      <c r="J37" s="428"/>
      <c r="K37" s="428"/>
      <c r="L37" s="428"/>
      <c r="M37" s="429"/>
      <c r="N37" s="202"/>
    </row>
    <row r="38" spans="2:17" s="110" customFormat="1" ht="24.95" customHeight="1" x14ac:dyDescent="0.15">
      <c r="B38" s="202"/>
      <c r="C38" s="119" t="s">
        <v>79</v>
      </c>
      <c r="D38" s="137"/>
      <c r="E38" s="137"/>
      <c r="F38" s="137"/>
      <c r="G38" s="137">
        <v>352935.84640000004</v>
      </c>
      <c r="H38" s="135"/>
      <c r="I38" s="141">
        <f>IS!H28*资产负债假设!I39</f>
        <v>775992.62041103758</v>
      </c>
      <c r="J38" s="141">
        <f>IS!I28*资产负债假设!J39</f>
        <v>974840.98814103857</v>
      </c>
      <c r="K38" s="141">
        <f>IS!J28*资产负债假设!K39</f>
        <v>1231795.6806334083</v>
      </c>
      <c r="L38" s="141">
        <f>IS!K28*资产负债假设!L39</f>
        <v>1469888.4410953561</v>
      </c>
      <c r="M38" s="141">
        <f>IS!L28*资产负债假设!M39</f>
        <v>1563934.7339352027</v>
      </c>
      <c r="N38" s="202"/>
    </row>
    <row r="39" spans="2:17" s="110" customFormat="1" ht="24.95" customHeight="1" x14ac:dyDescent="0.15">
      <c r="B39" s="202"/>
      <c r="C39" s="104" t="s">
        <v>80</v>
      </c>
      <c r="D39" s="105"/>
      <c r="E39" s="105"/>
      <c r="F39" s="105"/>
      <c r="G39" s="105">
        <v>0.21440000000000001</v>
      </c>
      <c r="H39" s="176">
        <f>AVERAGE(D39:G39)</f>
        <v>0.21440000000000001</v>
      </c>
      <c r="I39" s="123">
        <v>0.3</v>
      </c>
      <c r="J39" s="123">
        <f>I39</f>
        <v>0.3</v>
      </c>
      <c r="K39" s="123">
        <f t="shared" ref="K39:M39" si="8">J39</f>
        <v>0.3</v>
      </c>
      <c r="L39" s="123">
        <f t="shared" si="8"/>
        <v>0.3</v>
      </c>
      <c r="M39" s="123">
        <f t="shared" si="8"/>
        <v>0.3</v>
      </c>
      <c r="N39" s="202"/>
    </row>
    <row r="40" spans="2:17" s="110" customFormat="1" ht="24.95" customHeight="1" x14ac:dyDescent="0.15">
      <c r="B40" s="202"/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9"/>
      <c r="N40" s="202"/>
    </row>
    <row r="41" spans="2:17" s="110" customFormat="1" ht="24.95" customHeight="1" x14ac:dyDescent="0.15">
      <c r="B41" s="202"/>
      <c r="C41" s="119" t="s">
        <v>81</v>
      </c>
      <c r="D41" s="137">
        <f>BS!D54</f>
        <v>719228</v>
      </c>
      <c r="E41" s="137">
        <f>BS!E54</f>
        <v>802017</v>
      </c>
      <c r="F41" s="137">
        <f>BS!F54</f>
        <v>1088978</v>
      </c>
      <c r="G41" s="137">
        <f>BS!G54</f>
        <v>8624797</v>
      </c>
      <c r="H41" s="135"/>
      <c r="I41" s="141">
        <f>G41+IS!H31-(I26-G26)+I31+I28</f>
        <v>10435446.447625754</v>
      </c>
      <c r="J41" s="141">
        <f>I41+IS!I31-(J26-I26)+J31+J28</f>
        <v>12710075.419954844</v>
      </c>
      <c r="K41" s="141">
        <f>J41+IS!J31-(K26-J26)+K31+K28</f>
        <v>15584265.341432797</v>
      </c>
      <c r="L41" s="141">
        <f>K41+IS!K31-(L26-K26)+L31+L28</f>
        <v>19014005.037321962</v>
      </c>
      <c r="M41" s="141">
        <f>L41+IS!L31-(M26-L26)+M31+M28</f>
        <v>22663186.083170768</v>
      </c>
      <c r="N41" s="202" t="s">
        <v>82</v>
      </c>
    </row>
    <row r="42" spans="2:17" ht="6" customHeight="1" x14ac:dyDescent="0.15"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</row>
    <row r="45" spans="2:17" s="1" customFormat="1" ht="6" customHeight="1" x14ac:dyDescent="0.2">
      <c r="B45" s="196"/>
      <c r="C45" s="199"/>
      <c r="D45" s="200"/>
      <c r="E45" s="200"/>
      <c r="F45" s="200"/>
      <c r="G45" s="200"/>
      <c r="H45" s="201"/>
      <c r="I45" s="201"/>
      <c r="J45" s="201"/>
      <c r="K45" s="201"/>
      <c r="L45" s="201"/>
      <c r="M45" s="201"/>
      <c r="N45" s="201"/>
      <c r="O45" s="4"/>
      <c r="P45" s="4"/>
      <c r="Q45" s="4"/>
    </row>
    <row r="46" spans="2:17" s="110" customFormat="1" ht="24.95" customHeight="1" x14ac:dyDescent="0.15">
      <c r="B46" s="202"/>
      <c r="C46" s="261" t="s">
        <v>83</v>
      </c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202"/>
    </row>
    <row r="47" spans="2:17" s="110" customFormat="1" ht="24.95" customHeight="1" x14ac:dyDescent="0.15">
      <c r="B47" s="202"/>
      <c r="C47" s="403" t="s">
        <v>84</v>
      </c>
      <c r="D47" s="431"/>
      <c r="E47" s="431"/>
      <c r="F47" s="431"/>
      <c r="G47" s="431"/>
      <c r="H47" s="432"/>
      <c r="I47" s="143">
        <v>2.6499999999999999E-2</v>
      </c>
      <c r="J47" s="433"/>
      <c r="K47" s="434"/>
      <c r="L47" s="434"/>
      <c r="M47" s="434"/>
      <c r="N47" s="202"/>
    </row>
    <row r="48" spans="2:17" s="110" customFormat="1" ht="24.95" customHeight="1" x14ac:dyDescent="0.15">
      <c r="B48" s="202"/>
      <c r="C48" s="403" t="s">
        <v>85</v>
      </c>
      <c r="D48" s="431"/>
      <c r="E48" s="431"/>
      <c r="F48" s="431"/>
      <c r="G48" s="431"/>
      <c r="H48" s="432"/>
      <c r="I48" s="143">
        <v>1.2E-2</v>
      </c>
      <c r="J48" s="435"/>
      <c r="K48" s="436"/>
      <c r="L48" s="436"/>
      <c r="M48" s="436"/>
      <c r="N48" s="202"/>
    </row>
    <row r="49" spans="2:15" s="110" customFormat="1" ht="24.95" customHeight="1" x14ac:dyDescent="0.15">
      <c r="B49" s="202"/>
      <c r="C49" s="403" t="s">
        <v>86</v>
      </c>
      <c r="D49" s="431"/>
      <c r="E49" s="431"/>
      <c r="F49" s="431"/>
      <c r="G49" s="431"/>
      <c r="H49" s="432"/>
      <c r="I49" s="143">
        <v>1.4999999999999999E-2</v>
      </c>
      <c r="J49" s="435"/>
      <c r="K49" s="436"/>
      <c r="L49" s="436"/>
      <c r="M49" s="436"/>
      <c r="N49" s="202"/>
    </row>
    <row r="50" spans="2:15" s="110" customFormat="1" ht="24.95" customHeight="1" x14ac:dyDescent="0.15">
      <c r="B50" s="202"/>
      <c r="C50" s="403" t="s">
        <v>87</v>
      </c>
      <c r="D50" s="431"/>
      <c r="E50" s="431"/>
      <c r="F50" s="431"/>
      <c r="G50" s="431"/>
      <c r="H50" s="432"/>
      <c r="I50" s="143">
        <f>BS!G38/(BS!G24+BS!G25)</f>
        <v>0.39216574491651685</v>
      </c>
      <c r="J50" s="435"/>
      <c r="K50" s="436"/>
      <c r="L50" s="436"/>
      <c r="M50" s="436"/>
      <c r="N50" s="202"/>
    </row>
    <row r="51" spans="2:15" s="110" customFormat="1" ht="24.95" customHeight="1" x14ac:dyDescent="0.15">
      <c r="B51" s="202"/>
      <c r="C51" s="403" t="s">
        <v>88</v>
      </c>
      <c r="D51" s="431"/>
      <c r="E51" s="431"/>
      <c r="F51" s="431"/>
      <c r="G51" s="431"/>
      <c r="H51" s="432"/>
      <c r="I51" s="144">
        <v>1.4999999999999999E-2</v>
      </c>
      <c r="J51" s="435"/>
      <c r="K51" s="436"/>
      <c r="L51" s="436"/>
      <c r="M51" s="436"/>
      <c r="N51" s="202"/>
    </row>
    <row r="52" spans="2:15" s="110" customFormat="1" ht="24.95" customHeight="1" x14ac:dyDescent="0.15">
      <c r="B52" s="202"/>
      <c r="C52" s="403" t="s">
        <v>89</v>
      </c>
      <c r="D52" s="431"/>
      <c r="E52" s="431"/>
      <c r="F52" s="431"/>
      <c r="G52" s="431"/>
      <c r="H52" s="432"/>
      <c r="I52" s="144">
        <v>0</v>
      </c>
      <c r="J52" s="435"/>
      <c r="K52" s="436"/>
      <c r="L52" s="436"/>
      <c r="M52" s="436"/>
      <c r="N52" s="202" t="s">
        <v>82</v>
      </c>
    </row>
    <row r="53" spans="2:15" s="110" customFormat="1" ht="24.95" customHeight="1" x14ac:dyDescent="0.15">
      <c r="B53" s="202"/>
      <c r="C53" s="403" t="s">
        <v>90</v>
      </c>
      <c r="D53" s="431"/>
      <c r="E53" s="431"/>
      <c r="F53" s="431"/>
      <c r="G53" s="431"/>
      <c r="H53" s="432"/>
      <c r="I53" s="144">
        <v>4.7500000000000001E-2</v>
      </c>
      <c r="J53" s="435"/>
      <c r="K53" s="436"/>
      <c r="L53" s="436"/>
      <c r="M53" s="436"/>
      <c r="N53" s="202"/>
    </row>
    <row r="54" spans="2:15" s="110" customFormat="1" ht="24.95" hidden="1" customHeight="1" x14ac:dyDescent="0.15">
      <c r="B54" s="202"/>
      <c r="C54" s="403" t="s">
        <v>91</v>
      </c>
      <c r="D54" s="431"/>
      <c r="E54" s="431"/>
      <c r="F54" s="431"/>
      <c r="G54" s="431"/>
      <c r="H54" s="432"/>
      <c r="I54" s="144"/>
      <c r="J54" s="435"/>
      <c r="K54" s="436"/>
      <c r="L54" s="436"/>
      <c r="M54" s="436"/>
      <c r="N54" s="202"/>
    </row>
    <row r="55" spans="2:15" s="110" customFormat="1" ht="24.95" customHeight="1" x14ac:dyDescent="0.15">
      <c r="B55" s="202"/>
      <c r="C55" s="403" t="s">
        <v>92</v>
      </c>
      <c r="D55" s="431"/>
      <c r="E55" s="431"/>
      <c r="F55" s="431"/>
      <c r="G55" s="431"/>
      <c r="H55" s="432"/>
      <c r="I55" s="144">
        <v>1</v>
      </c>
      <c r="J55" s="435"/>
      <c r="K55" s="436"/>
      <c r="L55" s="436"/>
      <c r="M55" s="436"/>
      <c r="N55" s="202"/>
    </row>
    <row r="56" spans="2:15" ht="6" customHeight="1" x14ac:dyDescent="0.15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</row>
    <row r="58" spans="2:15" x14ac:dyDescent="0.15">
      <c r="F58" s="370"/>
      <c r="G58" s="370"/>
      <c r="H58" s="370"/>
      <c r="I58" s="370"/>
      <c r="J58" s="370"/>
      <c r="K58" s="370"/>
      <c r="L58" s="370"/>
    </row>
    <row r="59" spans="2:15" x14ac:dyDescent="0.15">
      <c r="F59" s="368"/>
      <c r="G59" s="368"/>
      <c r="H59" s="368"/>
      <c r="I59" s="368"/>
      <c r="J59" s="178"/>
      <c r="K59" s="178"/>
      <c r="L59" s="178"/>
      <c r="M59" s="178"/>
    </row>
    <row r="60" spans="2:15" x14ac:dyDescent="0.15">
      <c r="E60" s="178"/>
      <c r="F60" s="178"/>
      <c r="G60" s="368"/>
      <c r="H60" s="178"/>
      <c r="I60" s="178"/>
      <c r="J60" s="178"/>
      <c r="K60" s="178"/>
      <c r="L60" s="178"/>
      <c r="M60" s="178"/>
      <c r="N60" s="178"/>
      <c r="O60" s="178"/>
    </row>
    <row r="109" spans="14:14" s="133" customFormat="1" x14ac:dyDescent="0.15">
      <c r="N109" s="133" t="s">
        <v>82</v>
      </c>
    </row>
  </sheetData>
  <mergeCells count="19">
    <mergeCell ref="C53:H53"/>
    <mergeCell ref="C54:H54"/>
    <mergeCell ref="C55:H55"/>
    <mergeCell ref="J47:M55"/>
    <mergeCell ref="C48:H48"/>
    <mergeCell ref="C49:H49"/>
    <mergeCell ref="C50:H50"/>
    <mergeCell ref="C51:H51"/>
    <mergeCell ref="C52:H52"/>
    <mergeCell ref="C32:M32"/>
    <mergeCell ref="C37:M37"/>
    <mergeCell ref="C40:M40"/>
    <mergeCell ref="D46:M46"/>
    <mergeCell ref="C47:H47"/>
    <mergeCell ref="C11:M11"/>
    <mergeCell ref="C13:M13"/>
    <mergeCell ref="C18:M18"/>
    <mergeCell ref="C27:M27"/>
    <mergeCell ref="C30:M30"/>
  </mergeCells>
  <phoneticPr fontId="37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P1086"/>
  <sheetViews>
    <sheetView showGridLines="0" zoomScale="85" zoomScaleNormal="85" workbookViewId="0">
      <pane ySplit="3" topLeftCell="A4" activePane="bottomLeft" state="frozen"/>
      <selection pane="bottomLeft" activeCell="F33" sqref="F33"/>
    </sheetView>
  </sheetViews>
  <sheetFormatPr defaultColWidth="9" defaultRowHeight="16.5" x14ac:dyDescent="0.15"/>
  <cols>
    <col min="1" max="1" width="4.125" style="17" customWidth="1"/>
    <col min="2" max="2" width="0.875" style="54" customWidth="1"/>
    <col min="3" max="3" width="31.625" style="17" customWidth="1"/>
    <col min="4" max="11" width="15" style="17" customWidth="1"/>
    <col min="12" max="12" width="0.875" style="54" customWidth="1"/>
    <col min="13" max="13" width="9" style="17"/>
    <col min="14" max="14" width="11.25" style="17" customWidth="1"/>
    <col min="15" max="15" width="13.25" style="17" bestFit="1" customWidth="1"/>
    <col min="16" max="16384" width="9" style="17"/>
  </cols>
  <sheetData>
    <row r="1" spans="2:16" s="177" customFormat="1" ht="12" customHeight="1" x14ac:dyDescent="0.15"/>
    <row r="2" spans="2:16" s="203" customFormat="1" ht="12" customHeight="1" x14ac:dyDescent="0.15">
      <c r="C2" s="204"/>
      <c r="F2" s="205"/>
    </row>
    <row r="3" spans="2:16" s="203" customFormat="1" ht="12" customHeight="1" x14ac:dyDescent="0.15">
      <c r="C3" s="206"/>
      <c r="D3" s="207"/>
      <c r="E3" s="207"/>
      <c r="F3" s="207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2:16" s="97" customFormat="1" ht="23.1" customHeight="1" x14ac:dyDescent="0.15">
      <c r="C4" s="111"/>
      <c r="D4" s="335"/>
      <c r="E4" s="335"/>
      <c r="F4" s="335"/>
      <c r="G4" s="336"/>
      <c r="H4" s="336"/>
      <c r="I4" s="336"/>
      <c r="J4" s="336"/>
      <c r="K4" s="336"/>
      <c r="L4" s="108"/>
      <c r="M4" s="108"/>
      <c r="N4" s="108"/>
      <c r="O4" s="108"/>
      <c r="P4" s="108"/>
    </row>
    <row r="5" spans="2:16" s="97" customFormat="1" ht="6" customHeight="1" x14ac:dyDescent="0.15">
      <c r="B5" s="203"/>
      <c r="C5" s="206"/>
      <c r="D5" s="207"/>
      <c r="E5" s="207"/>
      <c r="F5" s="207"/>
      <c r="G5" s="208"/>
      <c r="H5" s="208"/>
      <c r="I5" s="208"/>
      <c r="J5" s="208"/>
      <c r="K5" s="208"/>
      <c r="L5" s="208"/>
      <c r="M5" s="108"/>
      <c r="N5" s="108"/>
      <c r="O5" s="108"/>
      <c r="P5" s="108"/>
    </row>
    <row r="6" spans="2:16" s="79" customFormat="1" ht="24.95" customHeight="1" x14ac:dyDescent="0.15">
      <c r="B6" s="177"/>
      <c r="C6" s="261" t="s">
        <v>447</v>
      </c>
      <c r="D6" s="217">
        <v>2016</v>
      </c>
      <c r="E6" s="217">
        <v>2017</v>
      </c>
      <c r="F6" s="217">
        <v>2018</v>
      </c>
      <c r="G6" s="217" t="s">
        <v>23</v>
      </c>
      <c r="H6" s="217" t="s">
        <v>24</v>
      </c>
      <c r="I6" s="217" t="s">
        <v>25</v>
      </c>
      <c r="J6" s="217" t="s">
        <v>26</v>
      </c>
      <c r="K6" s="217" t="s">
        <v>27</v>
      </c>
      <c r="L6" s="210"/>
      <c r="M6" s="129"/>
    </row>
    <row r="7" spans="2:16" s="79" customFormat="1" ht="24.95" customHeight="1" x14ac:dyDescent="0.15">
      <c r="B7" s="177"/>
      <c r="C7" s="112" t="s">
        <v>452</v>
      </c>
      <c r="D7" s="113">
        <f>D17</f>
        <v>427808</v>
      </c>
      <c r="E7" s="113">
        <f>E17</f>
        <v>1497764</v>
      </c>
      <c r="F7" s="113">
        <f>F17</f>
        <v>2593965</v>
      </c>
      <c r="G7" s="115">
        <f>10000*业务模型!F70*1.2</f>
        <v>3120000</v>
      </c>
      <c r="H7" s="115">
        <f>10000*业务模型!G70*1.2</f>
        <v>2160000</v>
      </c>
      <c r="I7" s="115">
        <f>10000*业务模型!H70*1.2</f>
        <v>1284000</v>
      </c>
      <c r="J7" s="115">
        <f>10000*业务模型!I70*1.2</f>
        <v>840000</v>
      </c>
      <c r="K7" s="115">
        <f>10000*业务模型!J70*1.2</f>
        <v>420000</v>
      </c>
      <c r="L7" s="210"/>
      <c r="M7" s="129"/>
      <c r="N7" s="129"/>
      <c r="O7" s="129"/>
    </row>
    <row r="8" spans="2:16" s="79" customFormat="1" ht="24.95" customHeight="1" x14ac:dyDescent="0.15">
      <c r="B8" s="177"/>
      <c r="C8" s="112" t="s">
        <v>453</v>
      </c>
      <c r="D8" s="113">
        <f>D30</f>
        <v>258</v>
      </c>
      <c r="E8" s="113">
        <f>E30</f>
        <v>127</v>
      </c>
      <c r="F8" s="113">
        <f>F30</f>
        <v>50928</v>
      </c>
      <c r="G8" s="115">
        <f>8639177*20%*30%</f>
        <v>518350.62</v>
      </c>
      <c r="H8" s="115">
        <f>8639177*20%*30%</f>
        <v>518350.62</v>
      </c>
      <c r="I8" s="115">
        <f>8639177*20%*20%</f>
        <v>345567.08000000007</v>
      </c>
      <c r="J8" s="115">
        <f>8639177*20%*10%</f>
        <v>172783.54000000004</v>
      </c>
      <c r="K8" s="115">
        <f>8639177*20%*10%</f>
        <v>172783.54000000004</v>
      </c>
      <c r="L8" s="210"/>
      <c r="M8" s="129"/>
    </row>
    <row r="9" spans="2:16" s="79" customFormat="1" ht="24.95" customHeight="1" x14ac:dyDescent="0.15">
      <c r="B9" s="177"/>
      <c r="C9" s="112" t="s">
        <v>454</v>
      </c>
      <c r="D9" s="113"/>
      <c r="E9" s="113"/>
      <c r="F9" s="113"/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210"/>
      <c r="M9" s="129"/>
    </row>
    <row r="10" spans="2:16" s="79" customFormat="1" ht="24.95" customHeight="1" x14ac:dyDescent="0.15">
      <c r="B10" s="177"/>
      <c r="C10" s="112" t="s">
        <v>455</v>
      </c>
      <c r="D10" s="113">
        <f t="shared" ref="D10:K10" si="0">SUM(D7:D9)</f>
        <v>428066</v>
      </c>
      <c r="E10" s="113">
        <f t="shared" si="0"/>
        <v>1497891</v>
      </c>
      <c r="F10" s="113">
        <f t="shared" si="0"/>
        <v>2644893</v>
      </c>
      <c r="G10" s="113">
        <f t="shared" si="0"/>
        <v>3638350.62</v>
      </c>
      <c r="H10" s="113">
        <f t="shared" si="0"/>
        <v>2678350.62</v>
      </c>
      <c r="I10" s="113">
        <f t="shared" si="0"/>
        <v>1629567.08</v>
      </c>
      <c r="J10" s="113">
        <f t="shared" si="0"/>
        <v>1012783.54</v>
      </c>
      <c r="K10" s="113">
        <f t="shared" si="0"/>
        <v>592783.54</v>
      </c>
      <c r="L10" s="210"/>
      <c r="M10" s="129"/>
    </row>
    <row r="11" spans="2:16" s="79" customFormat="1" ht="6" customHeight="1" x14ac:dyDescent="0.15">
      <c r="B11" s="177"/>
      <c r="C11" s="177"/>
      <c r="D11" s="209"/>
      <c r="E11" s="209"/>
      <c r="F11" s="209"/>
      <c r="G11" s="209"/>
      <c r="H11" s="209"/>
      <c r="I11" s="209"/>
      <c r="J11" s="209"/>
      <c r="K11" s="209"/>
      <c r="L11" s="210"/>
      <c r="M11" s="129"/>
    </row>
    <row r="12" spans="2:16" s="60" customFormat="1" ht="13.5" x14ac:dyDescent="0.15">
      <c r="D12" s="116"/>
    </row>
    <row r="13" spans="2:16" s="60" customFormat="1" ht="13.5" x14ac:dyDescent="0.15">
      <c r="D13" s="132"/>
      <c r="E13" s="333"/>
      <c r="F13" s="334"/>
      <c r="G13" s="132"/>
      <c r="H13" s="132"/>
      <c r="I13" s="132"/>
      <c r="J13" s="132"/>
      <c r="K13" s="132"/>
    </row>
    <row r="14" spans="2:16" s="58" customFormat="1" ht="6" customHeight="1" x14ac:dyDescent="0.15">
      <c r="B14" s="211"/>
      <c r="C14" s="212"/>
      <c r="D14" s="213"/>
      <c r="E14" s="213"/>
      <c r="F14" s="213"/>
      <c r="G14" s="214"/>
      <c r="H14" s="214"/>
      <c r="I14" s="214"/>
      <c r="J14" s="214"/>
      <c r="K14" s="214"/>
      <c r="L14" s="214"/>
      <c r="M14" s="71"/>
      <c r="N14" s="71"/>
      <c r="O14" s="71"/>
      <c r="P14" s="71"/>
    </row>
    <row r="15" spans="2:16" s="110" customFormat="1" ht="24.95" customHeight="1" x14ac:dyDescent="0.15">
      <c r="B15" s="202"/>
      <c r="C15" s="261" t="s">
        <v>98</v>
      </c>
      <c r="D15" s="217">
        <v>2016</v>
      </c>
      <c r="E15" s="217">
        <v>2017</v>
      </c>
      <c r="F15" s="217">
        <v>2018</v>
      </c>
      <c r="G15" s="217" t="s">
        <v>23</v>
      </c>
      <c r="H15" s="217" t="s">
        <v>24</v>
      </c>
      <c r="I15" s="217" t="s">
        <v>25</v>
      </c>
      <c r="J15" s="217" t="s">
        <v>26</v>
      </c>
      <c r="K15" s="217" t="s">
        <v>27</v>
      </c>
      <c r="L15" s="177"/>
    </row>
    <row r="16" spans="2:16" s="110" customFormat="1" ht="24.95" customHeight="1" x14ac:dyDescent="0.15">
      <c r="B16" s="202"/>
      <c r="C16" s="119" t="s">
        <v>93</v>
      </c>
      <c r="D16" s="120">
        <f>BS!D9</f>
        <v>796628</v>
      </c>
      <c r="E16" s="120">
        <f>BS!E9</f>
        <v>943041</v>
      </c>
      <c r="F16" s="120">
        <f>BS!F9</f>
        <v>2085428</v>
      </c>
      <c r="G16" s="88">
        <f>F22</f>
        <v>3999803</v>
      </c>
      <c r="H16" s="88">
        <f t="shared" ref="H16:K16" si="1">G22</f>
        <v>5842115.1914630011</v>
      </c>
      <c r="I16" s="88">
        <f t="shared" si="1"/>
        <v>6411356.9956382513</v>
      </c>
      <c r="J16" s="88">
        <f t="shared" si="1"/>
        <v>6074438.3690994792</v>
      </c>
      <c r="K16" s="88">
        <f t="shared" si="1"/>
        <v>5421963.7746771025</v>
      </c>
      <c r="L16" s="177"/>
    </row>
    <row r="17" spans="2:16" s="110" customFormat="1" ht="24.95" customHeight="1" x14ac:dyDescent="0.15">
      <c r="B17" s="202"/>
      <c r="C17" s="104" t="s">
        <v>94</v>
      </c>
      <c r="D17" s="114">
        <f t="shared" ref="D17:F17" si="2">D22-(D16-D19)</f>
        <v>427808</v>
      </c>
      <c r="E17" s="114">
        <f t="shared" si="2"/>
        <v>1497764</v>
      </c>
      <c r="F17" s="114">
        <f t="shared" si="2"/>
        <v>2593965</v>
      </c>
      <c r="G17" s="114">
        <f>G7-(G23-F23)</f>
        <v>3120000</v>
      </c>
      <c r="H17" s="114">
        <f>H7-(H23-G23)</f>
        <v>2160000</v>
      </c>
      <c r="I17" s="114">
        <f>I7-(I23-H23)</f>
        <v>1284000</v>
      </c>
      <c r="J17" s="114">
        <f>J7-(J23-I23)</f>
        <v>840000</v>
      </c>
      <c r="K17" s="114">
        <f>K7-(K23-J23)</f>
        <v>420000</v>
      </c>
      <c r="L17" s="177"/>
    </row>
    <row r="18" spans="2:16" s="110" customFormat="1" ht="24.95" customHeight="1" x14ac:dyDescent="0.15">
      <c r="B18" s="202"/>
      <c r="C18" s="104"/>
      <c r="D18" s="120"/>
      <c r="E18" s="120"/>
      <c r="F18" s="120"/>
      <c r="G18" s="88"/>
      <c r="H18" s="88"/>
      <c r="I18" s="88"/>
      <c r="J18" s="88"/>
      <c r="K18" s="88"/>
      <c r="L18" s="177"/>
    </row>
    <row r="19" spans="2:16" s="110" customFormat="1" ht="24.95" customHeight="1" x14ac:dyDescent="0.15">
      <c r="B19" s="202"/>
      <c r="C19" s="104" t="s">
        <v>95</v>
      </c>
      <c r="D19" s="120">
        <f>-利润表!C12</f>
        <v>281395</v>
      </c>
      <c r="E19" s="120">
        <f>-利润表!D12</f>
        <v>355377</v>
      </c>
      <c r="F19" s="120">
        <f>-利润表!E12</f>
        <v>679590</v>
      </c>
      <c r="G19" s="124">
        <f>(G16+G17/2)*G20</f>
        <v>1277687.8085369987</v>
      </c>
      <c r="H19" s="124">
        <f t="shared" ref="H19:K19" si="3">(H16+H17/2)*H20</f>
        <v>1590758.1958247493</v>
      </c>
      <c r="I19" s="124">
        <f t="shared" si="3"/>
        <v>1620918.6265387724</v>
      </c>
      <c r="J19" s="124">
        <f t="shared" si="3"/>
        <v>1492474.5944223767</v>
      </c>
      <c r="K19" s="124">
        <f t="shared" si="3"/>
        <v>1294270.9396406582</v>
      </c>
      <c r="L19" s="177"/>
    </row>
    <row r="20" spans="2:16" s="110" customFormat="1" ht="24.95" customHeight="1" x14ac:dyDescent="0.15">
      <c r="B20" s="202"/>
      <c r="C20" s="122" t="s">
        <v>96</v>
      </c>
      <c r="D20" s="125">
        <f t="shared" ref="D20:F20" si="4">D19/(D16+D17/2)</f>
        <v>0.27846223573325735</v>
      </c>
      <c r="E20" s="125">
        <f t="shared" si="4"/>
        <v>0.21004324664893143</v>
      </c>
      <c r="F20" s="125">
        <f t="shared" si="4"/>
        <v>0.20091884175501465</v>
      </c>
      <c r="G20" s="123">
        <f>AVERAGE(D20:F20)</f>
        <v>0.22980810804573448</v>
      </c>
      <c r="H20" s="123">
        <f>G20</f>
        <v>0.22980810804573448</v>
      </c>
      <c r="I20" s="123">
        <f t="shared" ref="I20:K20" si="5">H20</f>
        <v>0.22980810804573448</v>
      </c>
      <c r="J20" s="123">
        <f t="shared" si="5"/>
        <v>0.22980810804573448</v>
      </c>
      <c r="K20" s="123">
        <f t="shared" si="5"/>
        <v>0.22980810804573448</v>
      </c>
      <c r="L20" s="177"/>
      <c r="N20" s="130"/>
    </row>
    <row r="21" spans="2:16" s="110" customFormat="1" ht="24.95" customHeight="1" x14ac:dyDescent="0.15">
      <c r="B21" s="202"/>
      <c r="C21" s="104"/>
      <c r="D21" s="121"/>
      <c r="E21" s="121"/>
      <c r="F21" s="121"/>
      <c r="G21" s="88"/>
      <c r="H21" s="88"/>
      <c r="I21" s="88"/>
      <c r="J21" s="88"/>
      <c r="K21" s="88"/>
      <c r="L21" s="177"/>
    </row>
    <row r="22" spans="2:16" s="110" customFormat="1" ht="24.95" customHeight="1" x14ac:dyDescent="0.15">
      <c r="B22" s="202"/>
      <c r="C22" s="119" t="s">
        <v>97</v>
      </c>
      <c r="D22" s="120">
        <f>BS!E9</f>
        <v>943041</v>
      </c>
      <c r="E22" s="120">
        <f>BS!F9</f>
        <v>2085428</v>
      </c>
      <c r="F22" s="120">
        <f>BS!G9</f>
        <v>3999803</v>
      </c>
      <c r="G22" s="120">
        <f>G16+G17-G19</f>
        <v>5842115.1914630011</v>
      </c>
      <c r="H22" s="120">
        <f t="shared" ref="H22:K22" si="6">H16+H17-H19</f>
        <v>6411356.9956382513</v>
      </c>
      <c r="I22" s="120">
        <f t="shared" si="6"/>
        <v>6074438.3690994792</v>
      </c>
      <c r="J22" s="120">
        <f t="shared" si="6"/>
        <v>5421963.7746771025</v>
      </c>
      <c r="K22" s="120">
        <f t="shared" si="6"/>
        <v>4547692.8350364445</v>
      </c>
      <c r="L22" s="177"/>
    </row>
    <row r="23" spans="2:16" s="110" customFormat="1" ht="24.95" customHeight="1" x14ac:dyDescent="0.15">
      <c r="B23" s="202"/>
      <c r="C23" s="104" t="s">
        <v>99</v>
      </c>
      <c r="D23" s="120"/>
      <c r="E23" s="120"/>
      <c r="F23" s="120"/>
      <c r="G23" s="126"/>
      <c r="H23" s="126"/>
      <c r="I23" s="126"/>
      <c r="J23" s="126"/>
      <c r="K23" s="126"/>
      <c r="L23" s="177"/>
    </row>
    <row r="24" spans="2:16" s="60" customFormat="1" ht="6" customHeight="1" x14ac:dyDescent="0.15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59"/>
    </row>
    <row r="25" spans="2:16" s="60" customFormat="1" ht="13.5" x14ac:dyDescent="0.15"/>
    <row r="26" spans="2:16" s="60" customFormat="1" ht="13.5" x14ac:dyDescent="0.15">
      <c r="E26" s="117"/>
      <c r="F26" s="118"/>
    </row>
    <row r="27" spans="2:16" s="58" customFormat="1" ht="6" customHeight="1" x14ac:dyDescent="0.15">
      <c r="B27" s="211"/>
      <c r="C27" s="212"/>
      <c r="D27" s="213"/>
      <c r="E27" s="213"/>
      <c r="F27" s="213"/>
      <c r="G27" s="214"/>
      <c r="H27" s="214"/>
      <c r="I27" s="214"/>
      <c r="J27" s="214"/>
      <c r="K27" s="214"/>
      <c r="L27" s="214"/>
      <c r="M27" s="71"/>
      <c r="N27" s="71"/>
      <c r="O27" s="71"/>
      <c r="P27" s="71"/>
    </row>
    <row r="28" spans="2:16" s="110" customFormat="1" ht="24.95" customHeight="1" x14ac:dyDescent="0.15">
      <c r="B28" s="202"/>
      <c r="C28" s="261" t="s">
        <v>100</v>
      </c>
      <c r="D28" s="217">
        <v>2016</v>
      </c>
      <c r="E28" s="217">
        <v>2017</v>
      </c>
      <c r="F28" s="217">
        <v>2018</v>
      </c>
      <c r="G28" s="217" t="s">
        <v>23</v>
      </c>
      <c r="H28" s="217" t="s">
        <v>24</v>
      </c>
      <c r="I28" s="217" t="s">
        <v>25</v>
      </c>
      <c r="J28" s="217" t="s">
        <v>26</v>
      </c>
      <c r="K28" s="217" t="s">
        <v>27</v>
      </c>
      <c r="L28" s="177"/>
    </row>
    <row r="29" spans="2:16" s="110" customFormat="1" ht="24.95" customHeight="1" x14ac:dyDescent="0.15">
      <c r="B29" s="202"/>
      <c r="C29" s="119" t="s">
        <v>93</v>
      </c>
      <c r="D29" s="120">
        <f>BS!D11</f>
        <v>19219</v>
      </c>
      <c r="E29" s="120">
        <f>BS!E11</f>
        <v>14954</v>
      </c>
      <c r="F29" s="120">
        <f>BS!F11</f>
        <v>10619</v>
      </c>
      <c r="G29" s="120">
        <f>F35</f>
        <v>51816</v>
      </c>
      <c r="H29" s="120">
        <f t="shared" ref="H29:K29" si="7">G35</f>
        <v>487176.02390755469</v>
      </c>
      <c r="I29" s="120">
        <f t="shared" si="7"/>
        <v>806356.63463822939</v>
      </c>
      <c r="J29" s="120">
        <f t="shared" si="7"/>
        <v>890632.08320554532</v>
      </c>
      <c r="K29" s="120">
        <f t="shared" si="7"/>
        <v>802688.74960233772</v>
      </c>
      <c r="L29" s="177"/>
    </row>
    <row r="30" spans="2:16" s="110" customFormat="1" ht="24.95" customHeight="1" x14ac:dyDescent="0.15">
      <c r="B30" s="202"/>
      <c r="C30" s="104" t="s">
        <v>94</v>
      </c>
      <c r="D30" s="120">
        <f t="shared" ref="D30:F30" si="8">D35-(D29-D32)</f>
        <v>258</v>
      </c>
      <c r="E30" s="120">
        <f t="shared" si="8"/>
        <v>127</v>
      </c>
      <c r="F30" s="120">
        <f t="shared" si="8"/>
        <v>50928</v>
      </c>
      <c r="G30" s="67">
        <f>G8-(G36-F36)</f>
        <v>518350.62</v>
      </c>
      <c r="H30" s="67">
        <f>H8-(H36-G36)</f>
        <v>518350.62</v>
      </c>
      <c r="I30" s="67">
        <f>I8-(I36-H36)</f>
        <v>345567.08000000007</v>
      </c>
      <c r="J30" s="67">
        <f>J8-(J36-I36)</f>
        <v>172783.54000000004</v>
      </c>
      <c r="K30" s="67">
        <f>K8-(K36-J36)</f>
        <v>172783.54000000004</v>
      </c>
      <c r="L30" s="177"/>
    </row>
    <row r="31" spans="2:16" s="110" customFormat="1" ht="24.95" customHeight="1" x14ac:dyDescent="0.15">
      <c r="B31" s="202"/>
      <c r="C31" s="104"/>
      <c r="D31" s="120"/>
      <c r="E31" s="121"/>
      <c r="F31" s="121"/>
      <c r="G31" s="88"/>
      <c r="H31" s="88"/>
      <c r="I31" s="88"/>
      <c r="J31" s="88"/>
      <c r="K31" s="88"/>
      <c r="L31" s="177"/>
    </row>
    <row r="32" spans="2:16" s="110" customFormat="1" ht="24.95" customHeight="1" x14ac:dyDescent="0.15">
      <c r="B32" s="202"/>
      <c r="C32" s="104" t="s">
        <v>101</v>
      </c>
      <c r="D32" s="120">
        <f>-利润表!C13</f>
        <v>4523</v>
      </c>
      <c r="E32" s="120">
        <f>-利润表!D13</f>
        <v>4462</v>
      </c>
      <c r="F32" s="120">
        <f>-利润表!E13</f>
        <v>9731</v>
      </c>
      <c r="G32" s="88">
        <f>(G29+G30/2)*G33</f>
        <v>82990.596092445281</v>
      </c>
      <c r="H32" s="88">
        <f t="shared" ref="H32:K32" si="9">(H29+H30/2)*H33</f>
        <v>199170.00926932532</v>
      </c>
      <c r="I32" s="88">
        <f t="shared" si="9"/>
        <v>261291.6314326842</v>
      </c>
      <c r="J32" s="88">
        <f t="shared" si="9"/>
        <v>260726.87360320764</v>
      </c>
      <c r="K32" s="88">
        <f t="shared" si="9"/>
        <v>237258.46968514647</v>
      </c>
      <c r="L32" s="177"/>
      <c r="N32" s="130"/>
    </row>
    <row r="33" spans="2:16" s="110" customFormat="1" ht="24.95" customHeight="1" x14ac:dyDescent="0.15">
      <c r="B33" s="202"/>
      <c r="C33" s="122" t="s">
        <v>102</v>
      </c>
      <c r="D33" s="106">
        <f t="shared" ref="D33:F33" si="10">D32/(D29+D30/2)</f>
        <v>0.2337709323961133</v>
      </c>
      <c r="E33" s="106">
        <f t="shared" si="10"/>
        <v>0.29712002663559178</v>
      </c>
      <c r="F33" s="106">
        <f t="shared" si="10"/>
        <v>0.26968378460770998</v>
      </c>
      <c r="G33" s="123">
        <f>AVERAGE(D33:F33)</f>
        <v>0.266858247879805</v>
      </c>
      <c r="H33" s="123">
        <f>G33</f>
        <v>0.266858247879805</v>
      </c>
      <c r="I33" s="123">
        <f t="shared" ref="I33:K33" si="11">H33</f>
        <v>0.266858247879805</v>
      </c>
      <c r="J33" s="123">
        <f t="shared" si="11"/>
        <v>0.266858247879805</v>
      </c>
      <c r="K33" s="123">
        <f t="shared" si="11"/>
        <v>0.266858247879805</v>
      </c>
      <c r="L33" s="177"/>
    </row>
    <row r="34" spans="2:16" ht="24.95" customHeight="1" x14ac:dyDescent="0.15">
      <c r="B34" s="177"/>
      <c r="C34" s="127"/>
      <c r="D34" s="128"/>
      <c r="E34" s="128"/>
      <c r="F34" s="128"/>
      <c r="G34" s="113"/>
      <c r="H34" s="113"/>
      <c r="I34" s="113"/>
      <c r="J34" s="113"/>
      <c r="K34" s="113"/>
      <c r="L34" s="177"/>
      <c r="N34" s="95"/>
    </row>
    <row r="35" spans="2:16" s="110" customFormat="1" ht="24.95" customHeight="1" x14ac:dyDescent="0.15">
      <c r="B35" s="202"/>
      <c r="C35" s="119" t="s">
        <v>97</v>
      </c>
      <c r="D35" s="120">
        <f>BS!E11</f>
        <v>14954</v>
      </c>
      <c r="E35" s="120">
        <f>BS!F11</f>
        <v>10619</v>
      </c>
      <c r="F35" s="120">
        <f>BS!G11</f>
        <v>51816</v>
      </c>
      <c r="G35" s="120">
        <f>G29+G30-G32</f>
        <v>487176.02390755469</v>
      </c>
      <c r="H35" s="120">
        <f t="shared" ref="H35:K35" si="12">H29+H30-H32</f>
        <v>806356.63463822939</v>
      </c>
      <c r="I35" s="120">
        <f t="shared" si="12"/>
        <v>890632.08320554532</v>
      </c>
      <c r="J35" s="120">
        <f t="shared" si="12"/>
        <v>802688.74960233772</v>
      </c>
      <c r="K35" s="120">
        <f t="shared" si="12"/>
        <v>738213.81991719129</v>
      </c>
      <c r="L35" s="177"/>
    </row>
    <row r="36" spans="2:16" s="110" customFormat="1" ht="24.95" customHeight="1" x14ac:dyDescent="0.15">
      <c r="B36" s="202"/>
      <c r="C36" s="104"/>
      <c r="D36" s="120"/>
      <c r="E36" s="120"/>
      <c r="F36" s="120"/>
      <c r="G36" s="113"/>
      <c r="H36" s="113"/>
      <c r="I36" s="113"/>
      <c r="J36" s="113"/>
      <c r="K36" s="113"/>
      <c r="L36" s="177"/>
    </row>
    <row r="37" spans="2:16" s="60" customFormat="1" ht="6" customHeight="1" x14ac:dyDescent="0.15"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59"/>
    </row>
    <row r="38" spans="2:16" s="60" customFormat="1" ht="13.5" x14ac:dyDescent="0.15"/>
    <row r="39" spans="2:16" s="60" customFormat="1" ht="13.5" x14ac:dyDescent="0.15">
      <c r="E39" s="117"/>
      <c r="F39" s="118"/>
    </row>
    <row r="40" spans="2:16" s="58" customFormat="1" ht="6" customHeight="1" x14ac:dyDescent="0.15">
      <c r="B40" s="211"/>
      <c r="C40" s="212"/>
      <c r="D40" s="213"/>
      <c r="E40" s="213"/>
      <c r="F40" s="213"/>
      <c r="G40" s="214"/>
      <c r="H40" s="214"/>
      <c r="I40" s="214"/>
      <c r="J40" s="214"/>
      <c r="K40" s="214"/>
      <c r="L40" s="214"/>
      <c r="M40" s="71"/>
      <c r="N40" s="71"/>
      <c r="O40" s="71"/>
      <c r="P40" s="71"/>
    </row>
    <row r="41" spans="2:16" s="110" customFormat="1" ht="24.95" customHeight="1" x14ac:dyDescent="0.15">
      <c r="B41" s="202"/>
      <c r="C41" s="261" t="s">
        <v>448</v>
      </c>
      <c r="D41" s="217">
        <v>2016</v>
      </c>
      <c r="E41" s="217">
        <v>2017</v>
      </c>
      <c r="F41" s="217">
        <v>2018</v>
      </c>
      <c r="G41" s="217" t="s">
        <v>23</v>
      </c>
      <c r="H41" s="217" t="s">
        <v>24</v>
      </c>
      <c r="I41" s="217" t="s">
        <v>25</v>
      </c>
      <c r="J41" s="217" t="s">
        <v>26</v>
      </c>
      <c r="K41" s="217" t="s">
        <v>27</v>
      </c>
      <c r="L41" s="177"/>
    </row>
    <row r="42" spans="2:16" s="110" customFormat="1" ht="24.95" customHeight="1" x14ac:dyDescent="0.15">
      <c r="B42" s="202"/>
      <c r="C42" s="119" t="s">
        <v>93</v>
      </c>
      <c r="D42" s="120"/>
      <c r="E42" s="120"/>
      <c r="F42" s="120"/>
      <c r="G42" s="120"/>
      <c r="H42" s="120"/>
      <c r="I42" s="120"/>
      <c r="J42" s="120"/>
      <c r="K42" s="120"/>
      <c r="L42" s="177"/>
    </row>
    <row r="43" spans="2:16" s="110" customFormat="1" ht="24.95" customHeight="1" x14ac:dyDescent="0.15">
      <c r="B43" s="202"/>
      <c r="C43" s="104" t="s">
        <v>94</v>
      </c>
      <c r="D43" s="120"/>
      <c r="E43" s="120"/>
      <c r="F43" s="120"/>
      <c r="G43" s="67"/>
      <c r="H43" s="67"/>
      <c r="I43" s="67"/>
      <c r="J43" s="67"/>
      <c r="K43" s="67"/>
      <c r="L43" s="177"/>
    </row>
    <row r="44" spans="2:16" s="110" customFormat="1" ht="24.95" customHeight="1" x14ac:dyDescent="0.15">
      <c r="B44" s="202"/>
      <c r="C44" s="104"/>
      <c r="D44" s="120"/>
      <c r="E44" s="121"/>
      <c r="F44" s="121"/>
      <c r="G44" s="88"/>
      <c r="H44" s="88"/>
      <c r="I44" s="88"/>
      <c r="J44" s="88"/>
      <c r="K44" s="88"/>
      <c r="L44" s="177"/>
    </row>
    <row r="45" spans="2:16" s="110" customFormat="1" ht="24.95" customHeight="1" x14ac:dyDescent="0.15">
      <c r="B45" s="202"/>
      <c r="C45" s="104" t="s">
        <v>101</v>
      </c>
      <c r="D45" s="120"/>
      <c r="E45" s="120"/>
      <c r="F45" s="120"/>
      <c r="G45" s="88"/>
      <c r="H45" s="88"/>
      <c r="I45" s="88"/>
      <c r="J45" s="88"/>
      <c r="K45" s="88"/>
      <c r="L45" s="177"/>
      <c r="N45" s="130"/>
    </row>
    <row r="46" spans="2:16" s="110" customFormat="1" ht="24.95" customHeight="1" x14ac:dyDescent="0.15">
      <c r="B46" s="202"/>
      <c r="C46" s="122" t="s">
        <v>102</v>
      </c>
      <c r="D46" s="106"/>
      <c r="E46" s="106"/>
      <c r="F46" s="106"/>
      <c r="G46" s="123"/>
      <c r="H46" s="123"/>
      <c r="I46" s="123"/>
      <c r="J46" s="123"/>
      <c r="K46" s="123"/>
      <c r="L46" s="177"/>
    </row>
    <row r="47" spans="2:16" ht="24.95" customHeight="1" x14ac:dyDescent="0.15">
      <c r="B47" s="177"/>
      <c r="C47" s="127"/>
      <c r="D47" s="128"/>
      <c r="E47" s="128"/>
      <c r="F47" s="128"/>
      <c r="G47" s="113"/>
      <c r="H47" s="113"/>
      <c r="I47" s="113"/>
      <c r="J47" s="113"/>
      <c r="K47" s="113"/>
      <c r="L47" s="177"/>
      <c r="N47" s="95"/>
    </row>
    <row r="48" spans="2:16" s="110" customFormat="1" ht="24.95" customHeight="1" x14ac:dyDescent="0.15">
      <c r="B48" s="202"/>
      <c r="C48" s="119" t="s">
        <v>97</v>
      </c>
      <c r="D48" s="120"/>
      <c r="E48" s="120"/>
      <c r="F48" s="120"/>
      <c r="G48" s="120"/>
      <c r="H48" s="120"/>
      <c r="I48" s="120"/>
      <c r="J48" s="120"/>
      <c r="K48" s="120"/>
      <c r="L48" s="177"/>
    </row>
    <row r="49" spans="2:13" s="60" customFormat="1" ht="6" customHeight="1" x14ac:dyDescent="0.15"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59"/>
    </row>
    <row r="50" spans="2:13" s="60" customFormat="1" ht="13.5" x14ac:dyDescent="0.15"/>
    <row r="51" spans="2:13" s="60" customFormat="1" ht="13.5" x14ac:dyDescent="0.15">
      <c r="E51" s="117"/>
      <c r="F51" s="118"/>
    </row>
    <row r="52" spans="2:13" ht="6" customHeight="1" x14ac:dyDescent="0.15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2:13" s="79" customFormat="1" ht="24.95" customHeight="1" x14ac:dyDescent="0.15">
      <c r="B53" s="177"/>
      <c r="C53" s="261" t="s">
        <v>103</v>
      </c>
      <c r="D53" s="217">
        <v>2016</v>
      </c>
      <c r="E53" s="217">
        <v>2017</v>
      </c>
      <c r="F53" s="217">
        <v>2018</v>
      </c>
      <c r="G53" s="217" t="s">
        <v>23</v>
      </c>
      <c r="H53" s="217" t="s">
        <v>24</v>
      </c>
      <c r="I53" s="217" t="s">
        <v>25</v>
      </c>
      <c r="J53" s="217" t="s">
        <v>26</v>
      </c>
      <c r="K53" s="217" t="s">
        <v>27</v>
      </c>
      <c r="L53" s="210"/>
      <c r="M53" s="129"/>
    </row>
    <row r="54" spans="2:13" s="79" customFormat="1" ht="24.95" customHeight="1" x14ac:dyDescent="0.15">
      <c r="B54" s="177"/>
      <c r="C54" s="112" t="s">
        <v>104</v>
      </c>
      <c r="D54" s="131">
        <f>IS!E7/BS!E9</f>
        <v>8.2792646343054006</v>
      </c>
      <c r="E54" s="131">
        <f>IS!F7/BS!F9</f>
        <v>5.1007131389815425</v>
      </c>
      <c r="F54" s="131">
        <f>IS!G7/BS!G9</f>
        <v>4.24248394233416</v>
      </c>
      <c r="G54" s="131">
        <f>IS!H7/BS!H9</f>
        <v>4.6252960072087301</v>
      </c>
      <c r="H54" s="131">
        <f>IS!I7/BS!I9</f>
        <v>5.0469725715222564</v>
      </c>
      <c r="I54" s="131">
        <f>IS!J7/BS!J9</f>
        <v>6.4605188307511536</v>
      </c>
      <c r="J54" s="131">
        <f>IS!K7/BS!K9</f>
        <v>8.2574281735122845</v>
      </c>
      <c r="K54" s="131">
        <f>IS!L7/BS!L9</f>
        <v>10.01587190993763</v>
      </c>
      <c r="L54" s="210"/>
      <c r="M54" s="129"/>
    </row>
    <row r="55" spans="2:13" s="79" customFormat="1" ht="24.95" customHeight="1" x14ac:dyDescent="0.15">
      <c r="B55" s="177"/>
      <c r="C55" s="112" t="s">
        <v>105</v>
      </c>
      <c r="D55" s="131">
        <f>IS!E7/BS!E11</f>
        <v>522.1135482145246</v>
      </c>
      <c r="E55" s="131">
        <f>IS!F7/BS!F11</f>
        <v>1001.7110839062059</v>
      </c>
      <c r="F55" s="131">
        <f>IS!G7/BS!G11</f>
        <v>327.48764860274821</v>
      </c>
      <c r="G55" s="131">
        <f>IS!H7/BS!H11</f>
        <v>55.465603278241005</v>
      </c>
      <c r="H55" s="131">
        <f>IS!I7/BS!I11</f>
        <v>40.128575264641967</v>
      </c>
      <c r="I55" s="131">
        <f>IS!J7/BS!J11</f>
        <v>44.063114511390829</v>
      </c>
      <c r="J55" s="131">
        <f>IS!K7/BS!K11</f>
        <v>55.776882946175689</v>
      </c>
      <c r="K55" s="131">
        <f>IS!L7/BS!L11</f>
        <v>61.701782996389305</v>
      </c>
      <c r="L55" s="210"/>
      <c r="M55" s="129"/>
    </row>
    <row r="56" spans="2:13" s="79" customFormat="1" ht="24.95" customHeight="1" x14ac:dyDescent="0.15">
      <c r="B56" s="177"/>
      <c r="C56" s="112" t="s">
        <v>451</v>
      </c>
      <c r="D56" s="131"/>
      <c r="E56" s="131"/>
      <c r="F56" s="131"/>
      <c r="G56" s="131"/>
      <c r="H56" s="131"/>
      <c r="I56" s="131"/>
      <c r="J56" s="131"/>
      <c r="K56" s="131"/>
      <c r="L56" s="210"/>
      <c r="M56" s="129"/>
    </row>
    <row r="57" spans="2:13" s="79" customFormat="1" ht="6" customHeight="1" x14ac:dyDescent="0.15">
      <c r="B57" s="177"/>
      <c r="C57" s="177"/>
      <c r="D57" s="216"/>
      <c r="E57" s="216"/>
      <c r="F57" s="216"/>
      <c r="G57" s="216"/>
      <c r="H57" s="216"/>
      <c r="I57" s="216"/>
      <c r="J57" s="216"/>
      <c r="K57" s="216"/>
      <c r="L57" s="210"/>
      <c r="M57" s="129"/>
    </row>
    <row r="58" spans="2:13" s="60" customFormat="1" ht="13.5" x14ac:dyDescent="0.15">
      <c r="E58" s="117"/>
    </row>
    <row r="59" spans="2:13" s="60" customFormat="1" ht="13.5" x14ac:dyDescent="0.15">
      <c r="E59" s="117"/>
      <c r="F59" s="118"/>
    </row>
    <row r="60" spans="2:13" s="79" customFormat="1" ht="6" customHeight="1" x14ac:dyDescent="0.15">
      <c r="B60" s="177"/>
      <c r="C60" s="177"/>
      <c r="D60" s="209"/>
      <c r="E60" s="209"/>
      <c r="F60" s="209"/>
      <c r="G60" s="209"/>
      <c r="H60" s="209"/>
      <c r="I60" s="209"/>
      <c r="J60" s="209"/>
      <c r="K60" s="209"/>
      <c r="L60" s="210"/>
      <c r="M60" s="129"/>
    </row>
    <row r="61" spans="2:13" ht="24.95" customHeight="1" x14ac:dyDescent="0.15">
      <c r="B61" s="177"/>
      <c r="C61" s="261" t="s">
        <v>106</v>
      </c>
      <c r="D61" s="217">
        <v>2016</v>
      </c>
      <c r="E61" s="217">
        <v>2017</v>
      </c>
      <c r="F61" s="217">
        <v>2018</v>
      </c>
      <c r="G61" s="217" t="s">
        <v>23</v>
      </c>
      <c r="H61" s="217" t="s">
        <v>24</v>
      </c>
      <c r="I61" s="217" t="s">
        <v>25</v>
      </c>
      <c r="J61" s="217" t="s">
        <v>26</v>
      </c>
      <c r="K61" s="217" t="s">
        <v>27</v>
      </c>
      <c r="L61" s="177"/>
    </row>
    <row r="62" spans="2:13" ht="24.95" customHeight="1" x14ac:dyDescent="0.15">
      <c r="B62" s="177"/>
      <c r="C62" s="127" t="s">
        <v>107</v>
      </c>
      <c r="D62" s="113">
        <f>D19</f>
        <v>281395</v>
      </c>
      <c r="E62" s="113">
        <f t="shared" ref="E62:K62" si="13">E19</f>
        <v>355377</v>
      </c>
      <c r="F62" s="113">
        <f t="shared" si="13"/>
        <v>679590</v>
      </c>
      <c r="G62" s="113">
        <f t="shared" si="13"/>
        <v>1277687.8085369987</v>
      </c>
      <c r="H62" s="113">
        <f t="shared" si="13"/>
        <v>1590758.1958247493</v>
      </c>
      <c r="I62" s="113">
        <f t="shared" si="13"/>
        <v>1620918.6265387724</v>
      </c>
      <c r="J62" s="113">
        <f t="shared" si="13"/>
        <v>1492474.5944223767</v>
      </c>
      <c r="K62" s="113">
        <f t="shared" si="13"/>
        <v>1294270.9396406582</v>
      </c>
      <c r="L62" s="177"/>
    </row>
    <row r="63" spans="2:13" ht="24.95" customHeight="1" x14ac:dyDescent="0.15">
      <c r="B63" s="177"/>
      <c r="C63" s="127" t="s">
        <v>456</v>
      </c>
      <c r="D63" s="113">
        <f>D32</f>
        <v>4523</v>
      </c>
      <c r="E63" s="113">
        <f t="shared" ref="E63:K63" si="14">E32</f>
        <v>4462</v>
      </c>
      <c r="F63" s="113">
        <f t="shared" si="14"/>
        <v>9731</v>
      </c>
      <c r="G63" s="113">
        <f t="shared" si="14"/>
        <v>82990.596092445281</v>
      </c>
      <c r="H63" s="113">
        <f t="shared" si="14"/>
        <v>199170.00926932532</v>
      </c>
      <c r="I63" s="113">
        <f t="shared" si="14"/>
        <v>261291.6314326842</v>
      </c>
      <c r="J63" s="113">
        <f t="shared" si="14"/>
        <v>260726.87360320764</v>
      </c>
      <c r="K63" s="113">
        <f t="shared" si="14"/>
        <v>237258.46968514647</v>
      </c>
      <c r="L63" s="177"/>
    </row>
    <row r="64" spans="2:13" ht="24.95" customHeight="1" x14ac:dyDescent="0.15">
      <c r="B64" s="177"/>
      <c r="C64" s="127" t="s">
        <v>449</v>
      </c>
      <c r="D64" s="113"/>
      <c r="E64" s="113"/>
      <c r="F64" s="113"/>
      <c r="G64" s="113"/>
      <c r="H64" s="113"/>
      <c r="I64" s="113"/>
      <c r="J64" s="113"/>
      <c r="K64" s="113"/>
      <c r="L64" s="177"/>
    </row>
    <row r="65" spans="1:13" ht="24.95" customHeight="1" x14ac:dyDescent="0.15">
      <c r="B65" s="177"/>
      <c r="C65" s="127" t="s">
        <v>109</v>
      </c>
      <c r="D65" s="113">
        <f>SUM(D62:D64)</f>
        <v>285918</v>
      </c>
      <c r="E65" s="113">
        <f t="shared" ref="E65:K65" si="15">SUM(E62:E64)</f>
        <v>359839</v>
      </c>
      <c r="F65" s="113">
        <f t="shared" si="15"/>
        <v>689321</v>
      </c>
      <c r="G65" s="113">
        <f t="shared" si="15"/>
        <v>1360678.404629444</v>
      </c>
      <c r="H65" s="113">
        <f t="shared" si="15"/>
        <v>1789928.2050940746</v>
      </c>
      <c r="I65" s="113">
        <f t="shared" si="15"/>
        <v>1882210.2579714565</v>
      </c>
      <c r="J65" s="113">
        <f t="shared" si="15"/>
        <v>1753201.4680255842</v>
      </c>
      <c r="K65" s="113">
        <f t="shared" si="15"/>
        <v>1531529.4093258046</v>
      </c>
      <c r="L65" s="177"/>
    </row>
    <row r="66" spans="1:13" ht="6" customHeight="1" x14ac:dyDescent="0.15">
      <c r="A66" s="79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</row>
    <row r="67" spans="1:13" x14ac:dyDescent="0.15">
      <c r="A67" s="79"/>
      <c r="B67" s="79"/>
      <c r="K67" s="79"/>
      <c r="L67" s="79"/>
      <c r="M67" s="79"/>
    </row>
    <row r="68" spans="1:13" x14ac:dyDescent="0.15">
      <c r="A68" s="79"/>
      <c r="B68" s="79"/>
      <c r="K68" s="79"/>
      <c r="L68" s="79"/>
      <c r="M68" s="79"/>
    </row>
    <row r="69" spans="1:13" x14ac:dyDescent="0.15">
      <c r="A69" s="79"/>
      <c r="B69" s="79"/>
      <c r="K69" s="79"/>
      <c r="L69" s="79"/>
      <c r="M69" s="79"/>
    </row>
    <row r="70" spans="1:13" x14ac:dyDescent="0.15">
      <c r="A70" s="79"/>
      <c r="B70" s="79"/>
      <c r="K70" s="79"/>
      <c r="L70" s="79"/>
      <c r="M70" s="79"/>
    </row>
    <row r="71" spans="1:13" x14ac:dyDescent="0.15">
      <c r="A71" s="79"/>
      <c r="B71" s="79"/>
      <c r="K71" s="79"/>
      <c r="L71" s="79"/>
      <c r="M71" s="79"/>
    </row>
    <row r="72" spans="1:13" x14ac:dyDescent="0.15">
      <c r="A72" s="79"/>
      <c r="B72" s="79"/>
      <c r="K72" s="79"/>
      <c r="L72" s="79"/>
      <c r="M72" s="79"/>
    </row>
    <row r="73" spans="1:13" x14ac:dyDescent="0.15">
      <c r="A73" s="79"/>
      <c r="B73" s="79"/>
      <c r="K73" s="79"/>
      <c r="L73" s="79"/>
      <c r="M73" s="79"/>
    </row>
    <row r="74" spans="1:13" x14ac:dyDescent="0.15">
      <c r="A74" s="79"/>
      <c r="B74" s="79"/>
      <c r="K74" s="79"/>
      <c r="L74" s="79"/>
      <c r="M74" s="79"/>
    </row>
    <row r="75" spans="1:13" x14ac:dyDescent="0.15">
      <c r="A75" s="79"/>
      <c r="B75" s="79"/>
      <c r="K75" s="79"/>
      <c r="L75" s="79"/>
      <c r="M75" s="79"/>
    </row>
    <row r="76" spans="1:13" x14ac:dyDescent="0.15">
      <c r="A76" s="79"/>
      <c r="B76" s="79"/>
      <c r="K76" s="79"/>
      <c r="L76" s="79"/>
      <c r="M76" s="79"/>
    </row>
    <row r="77" spans="1:13" x14ac:dyDescent="0.15">
      <c r="A77" s="79"/>
      <c r="B77" s="79"/>
      <c r="K77" s="79"/>
      <c r="L77" s="79"/>
      <c r="M77" s="79"/>
    </row>
    <row r="78" spans="1:13" x14ac:dyDescent="0.15">
      <c r="A78" s="79"/>
      <c r="B78" s="79"/>
      <c r="K78" s="79"/>
      <c r="L78" s="79"/>
      <c r="M78" s="79"/>
    </row>
    <row r="79" spans="1:13" x14ac:dyDescent="0.15">
      <c r="A79" s="79"/>
      <c r="B79" s="79"/>
      <c r="K79" s="79"/>
      <c r="L79" s="79"/>
      <c r="M79" s="79"/>
    </row>
    <row r="80" spans="1:13" x14ac:dyDescent="0.15">
      <c r="A80" s="79"/>
      <c r="B80" s="79"/>
      <c r="K80" s="79"/>
      <c r="L80" s="79"/>
      <c r="M80" s="79"/>
    </row>
    <row r="81" spans="1:13" x14ac:dyDescent="0.15">
      <c r="A81" s="79"/>
      <c r="B81" s="79"/>
      <c r="K81" s="79"/>
      <c r="L81" s="79"/>
      <c r="M81" s="79"/>
    </row>
    <row r="82" spans="1:13" x14ac:dyDescent="0.15">
      <c r="A82" s="79"/>
      <c r="B82" s="79"/>
      <c r="K82" s="79"/>
      <c r="L82" s="79"/>
      <c r="M82" s="79"/>
    </row>
    <row r="83" spans="1:13" x14ac:dyDescent="0.15">
      <c r="A83" s="79"/>
      <c r="B83" s="79"/>
      <c r="K83" s="79"/>
      <c r="L83" s="79"/>
      <c r="M83" s="79"/>
    </row>
    <row r="84" spans="1:13" x14ac:dyDescent="0.15">
      <c r="A84" s="79"/>
      <c r="B84" s="79"/>
      <c r="K84" s="79"/>
      <c r="L84" s="79"/>
      <c r="M84" s="79"/>
    </row>
    <row r="85" spans="1:13" x14ac:dyDescent="0.15">
      <c r="A85" s="79"/>
      <c r="B85" s="79"/>
      <c r="K85" s="79"/>
      <c r="L85" s="79"/>
      <c r="M85" s="79"/>
    </row>
    <row r="86" spans="1:13" x14ac:dyDescent="0.15">
      <c r="A86" s="79"/>
      <c r="B86" s="79"/>
      <c r="K86" s="79"/>
      <c r="L86" s="79"/>
      <c r="M86" s="79"/>
    </row>
    <row r="87" spans="1:13" x14ac:dyDescent="0.15">
      <c r="A87" s="79"/>
      <c r="B87" s="79"/>
      <c r="K87" s="79"/>
      <c r="L87" s="79"/>
      <c r="M87" s="79"/>
    </row>
    <row r="88" spans="1:13" x14ac:dyDescent="0.15">
      <c r="A88" s="79"/>
      <c r="B88" s="79"/>
      <c r="K88" s="79"/>
      <c r="L88" s="79"/>
      <c r="M88" s="79"/>
    </row>
    <row r="89" spans="1:13" x14ac:dyDescent="0.15">
      <c r="A89" s="79"/>
      <c r="B89" s="79"/>
      <c r="K89" s="79"/>
      <c r="L89" s="79"/>
      <c r="M89" s="79"/>
    </row>
    <row r="90" spans="1:13" x14ac:dyDescent="0.15">
      <c r="A90" s="79"/>
      <c r="B90" s="79"/>
      <c r="K90" s="79"/>
      <c r="L90" s="79"/>
      <c r="M90" s="79"/>
    </row>
    <row r="91" spans="1:13" x14ac:dyDescent="0.15">
      <c r="A91" s="79"/>
      <c r="B91" s="79"/>
      <c r="K91" s="79"/>
      <c r="L91" s="79"/>
      <c r="M91" s="79"/>
    </row>
    <row r="92" spans="1:13" x14ac:dyDescent="0.15">
      <c r="A92" s="79"/>
      <c r="B92" s="79"/>
      <c r="K92" s="79"/>
      <c r="L92" s="79"/>
      <c r="M92" s="79"/>
    </row>
    <row r="93" spans="1:13" x14ac:dyDescent="0.15">
      <c r="A93" s="79"/>
      <c r="B93" s="79"/>
      <c r="K93" s="79"/>
      <c r="L93" s="79"/>
      <c r="M93" s="79"/>
    </row>
    <row r="94" spans="1:13" x14ac:dyDescent="0.15">
      <c r="A94" s="79"/>
      <c r="B94" s="79"/>
      <c r="K94" s="79"/>
      <c r="L94" s="79"/>
      <c r="M94" s="79"/>
    </row>
    <row r="95" spans="1:13" x14ac:dyDescent="0.15">
      <c r="A95" s="79"/>
      <c r="B95" s="79"/>
      <c r="K95" s="79"/>
      <c r="L95" s="79"/>
      <c r="M95" s="79"/>
    </row>
    <row r="96" spans="1:13" x14ac:dyDescent="0.15">
      <c r="A96" s="79"/>
      <c r="B96" s="79"/>
      <c r="K96" s="79"/>
      <c r="L96" s="79"/>
      <c r="M96" s="79"/>
    </row>
    <row r="97" spans="1:13" x14ac:dyDescent="0.15">
      <c r="A97" s="79"/>
      <c r="B97" s="79"/>
      <c r="K97" s="79"/>
      <c r="L97" s="79"/>
      <c r="M97" s="79"/>
    </row>
    <row r="98" spans="1:13" x14ac:dyDescent="0.15">
      <c r="A98" s="79"/>
      <c r="B98" s="79"/>
      <c r="K98" s="79"/>
      <c r="L98" s="79"/>
      <c r="M98" s="79"/>
    </row>
    <row r="99" spans="1:13" x14ac:dyDescent="0.15">
      <c r="A99" s="79"/>
      <c r="B99" s="79"/>
      <c r="K99" s="79"/>
      <c r="L99" s="79"/>
      <c r="M99" s="79"/>
    </row>
    <row r="100" spans="1:13" x14ac:dyDescent="0.15">
      <c r="A100" s="79"/>
      <c r="B100" s="79"/>
      <c r="K100" s="79"/>
      <c r="L100" s="79"/>
      <c r="M100" s="79"/>
    </row>
    <row r="101" spans="1:13" x14ac:dyDescent="0.15">
      <c r="A101" s="79"/>
      <c r="B101" s="79"/>
      <c r="K101" s="79"/>
      <c r="L101" s="79"/>
      <c r="M101" s="79"/>
    </row>
    <row r="102" spans="1:13" x14ac:dyDescent="0.15">
      <c r="A102" s="79"/>
      <c r="B102" s="79"/>
      <c r="K102" s="79"/>
      <c r="L102" s="79"/>
      <c r="M102" s="79"/>
    </row>
    <row r="103" spans="1:13" x14ac:dyDescent="0.15">
      <c r="A103" s="79"/>
      <c r="B103" s="79"/>
      <c r="K103" s="79"/>
      <c r="L103" s="79"/>
      <c r="M103" s="79"/>
    </row>
    <row r="104" spans="1:13" x14ac:dyDescent="0.15">
      <c r="A104" s="79"/>
      <c r="B104" s="79"/>
      <c r="K104" s="79"/>
      <c r="L104" s="79"/>
      <c r="M104" s="79"/>
    </row>
    <row r="105" spans="1:13" x14ac:dyDescent="0.15">
      <c r="A105" s="79"/>
      <c r="B105" s="79"/>
      <c r="K105" s="79"/>
      <c r="L105" s="79"/>
      <c r="M105" s="79"/>
    </row>
    <row r="106" spans="1:13" x14ac:dyDescent="0.15">
      <c r="A106" s="79"/>
      <c r="B106" s="79"/>
      <c r="K106" s="79"/>
      <c r="L106" s="79"/>
      <c r="M106" s="79"/>
    </row>
    <row r="107" spans="1:13" x14ac:dyDescent="0.15">
      <c r="A107" s="79"/>
      <c r="B107" s="79"/>
      <c r="K107" s="79"/>
      <c r="L107" s="79"/>
      <c r="M107" s="79"/>
    </row>
    <row r="108" spans="1:13" x14ac:dyDescent="0.15">
      <c r="A108" s="79"/>
      <c r="B108" s="79"/>
      <c r="K108" s="79"/>
      <c r="L108" s="79"/>
      <c r="M108" s="79"/>
    </row>
    <row r="109" spans="1:13" x14ac:dyDescent="0.15">
      <c r="A109" s="79"/>
      <c r="B109" s="79"/>
      <c r="K109" s="79"/>
      <c r="L109" s="79"/>
      <c r="M109" s="79"/>
    </row>
    <row r="110" spans="1:13" x14ac:dyDescent="0.15">
      <c r="A110" s="79"/>
      <c r="B110" s="79"/>
      <c r="K110" s="79"/>
      <c r="L110" s="79"/>
      <c r="M110" s="79"/>
    </row>
    <row r="111" spans="1:13" x14ac:dyDescent="0.15">
      <c r="A111" s="79"/>
      <c r="B111" s="79"/>
      <c r="K111" s="79"/>
      <c r="L111" s="79"/>
      <c r="M111" s="79"/>
    </row>
    <row r="112" spans="1:13" x14ac:dyDescent="0.15">
      <c r="A112" s="79"/>
      <c r="B112" s="79"/>
      <c r="K112" s="79"/>
      <c r="L112" s="79"/>
      <c r="M112" s="79"/>
    </row>
    <row r="113" spans="1:13" x14ac:dyDescent="0.15">
      <c r="A113" s="79"/>
      <c r="B113" s="79"/>
      <c r="K113" s="79"/>
      <c r="L113" s="79"/>
      <c r="M113" s="79"/>
    </row>
    <row r="114" spans="1:13" x14ac:dyDescent="0.15">
      <c r="A114" s="79"/>
      <c r="B114" s="79"/>
      <c r="K114" s="79"/>
      <c r="L114" s="79"/>
      <c r="M114" s="79"/>
    </row>
    <row r="115" spans="1:13" x14ac:dyDescent="0.15">
      <c r="A115" s="79"/>
      <c r="B115" s="79"/>
      <c r="K115" s="79"/>
      <c r="L115" s="79"/>
      <c r="M115" s="79"/>
    </row>
    <row r="116" spans="1:13" x14ac:dyDescent="0.15">
      <c r="A116" s="79"/>
      <c r="B116" s="79"/>
      <c r="K116" s="79"/>
      <c r="L116" s="79"/>
      <c r="M116" s="79"/>
    </row>
    <row r="117" spans="1:13" x14ac:dyDescent="0.15">
      <c r="A117" s="79"/>
      <c r="B117" s="79"/>
      <c r="K117" s="79"/>
      <c r="L117" s="79"/>
      <c r="M117" s="79"/>
    </row>
    <row r="118" spans="1:13" x14ac:dyDescent="0.15">
      <c r="A118" s="79"/>
      <c r="B118" s="79"/>
      <c r="K118" s="79"/>
      <c r="L118" s="79"/>
      <c r="M118" s="79"/>
    </row>
    <row r="119" spans="1:13" x14ac:dyDescent="0.15">
      <c r="A119" s="79"/>
      <c r="B119" s="79"/>
      <c r="K119" s="79"/>
      <c r="L119" s="79"/>
      <c r="M119" s="79"/>
    </row>
    <row r="120" spans="1:13" x14ac:dyDescent="0.15">
      <c r="A120" s="79"/>
      <c r="B120" s="79"/>
      <c r="K120" s="79"/>
      <c r="L120" s="79"/>
      <c r="M120" s="79"/>
    </row>
    <row r="121" spans="1:13" x14ac:dyDescent="0.15">
      <c r="A121" s="79"/>
      <c r="B121" s="79"/>
      <c r="K121" s="79"/>
      <c r="L121" s="79"/>
      <c r="M121" s="79"/>
    </row>
    <row r="122" spans="1:13" x14ac:dyDescent="0.15">
      <c r="A122" s="79"/>
      <c r="B122" s="79"/>
      <c r="K122" s="79"/>
      <c r="L122" s="79"/>
      <c r="M122" s="79"/>
    </row>
    <row r="123" spans="1:13" x14ac:dyDescent="0.15">
      <c r="A123" s="79"/>
      <c r="B123" s="79"/>
      <c r="K123" s="79"/>
      <c r="L123" s="79"/>
      <c r="M123" s="79"/>
    </row>
    <row r="124" spans="1:13" x14ac:dyDescent="0.15">
      <c r="A124" s="79"/>
      <c r="B124" s="79"/>
      <c r="K124" s="79"/>
      <c r="L124" s="79"/>
      <c r="M124" s="79"/>
    </row>
    <row r="125" spans="1:13" x14ac:dyDescent="0.15">
      <c r="A125" s="79"/>
      <c r="B125" s="79"/>
      <c r="K125" s="79"/>
      <c r="L125" s="79"/>
      <c r="M125" s="79"/>
    </row>
    <row r="126" spans="1:13" x14ac:dyDescent="0.15">
      <c r="A126" s="79"/>
      <c r="B126" s="79"/>
      <c r="K126" s="79"/>
      <c r="L126" s="79"/>
      <c r="M126" s="79"/>
    </row>
    <row r="127" spans="1:13" x14ac:dyDescent="0.15">
      <c r="A127" s="79"/>
      <c r="B127" s="79"/>
      <c r="K127" s="79"/>
      <c r="L127" s="79"/>
      <c r="M127" s="79"/>
    </row>
    <row r="128" spans="1:13" x14ac:dyDescent="0.15">
      <c r="A128" s="79"/>
      <c r="B128" s="79"/>
      <c r="K128" s="79"/>
      <c r="L128" s="79"/>
      <c r="M128" s="79"/>
    </row>
    <row r="129" spans="1:13" x14ac:dyDescent="0.15">
      <c r="A129" s="79"/>
      <c r="B129" s="79"/>
      <c r="K129" s="79"/>
      <c r="L129" s="79"/>
      <c r="M129" s="79"/>
    </row>
    <row r="130" spans="1:13" x14ac:dyDescent="0.15">
      <c r="A130" s="79"/>
      <c r="B130" s="79"/>
      <c r="K130" s="79"/>
      <c r="L130" s="79"/>
      <c r="M130" s="79"/>
    </row>
    <row r="131" spans="1:13" x14ac:dyDescent="0.15">
      <c r="A131" s="79"/>
      <c r="B131" s="79"/>
      <c r="K131" s="79"/>
      <c r="L131" s="79"/>
      <c r="M131" s="79"/>
    </row>
    <row r="132" spans="1:13" x14ac:dyDescent="0.15">
      <c r="A132" s="79"/>
      <c r="B132" s="79"/>
      <c r="K132" s="79"/>
      <c r="L132" s="79"/>
      <c r="M132" s="79"/>
    </row>
    <row r="133" spans="1:13" x14ac:dyDescent="0.15">
      <c r="A133" s="79"/>
      <c r="B133" s="79"/>
      <c r="K133" s="79"/>
      <c r="L133" s="79"/>
      <c r="M133" s="79"/>
    </row>
    <row r="134" spans="1:13" x14ac:dyDescent="0.15">
      <c r="A134" s="79"/>
      <c r="B134" s="79"/>
      <c r="K134" s="79"/>
      <c r="L134" s="79"/>
      <c r="M134" s="79"/>
    </row>
    <row r="135" spans="1:13" x14ac:dyDescent="0.15">
      <c r="A135" s="79"/>
      <c r="B135" s="79"/>
      <c r="K135" s="79"/>
      <c r="L135" s="79"/>
      <c r="M135" s="79"/>
    </row>
    <row r="136" spans="1:13" x14ac:dyDescent="0.15">
      <c r="A136" s="79"/>
      <c r="B136" s="79"/>
      <c r="K136" s="79"/>
      <c r="L136" s="79"/>
      <c r="M136" s="79"/>
    </row>
    <row r="137" spans="1:13" x14ac:dyDescent="0.15">
      <c r="A137" s="79"/>
      <c r="B137" s="79"/>
      <c r="K137" s="79"/>
      <c r="L137" s="79"/>
      <c r="M137" s="79"/>
    </row>
    <row r="138" spans="1:13" x14ac:dyDescent="0.15">
      <c r="A138" s="79"/>
      <c r="B138" s="79"/>
      <c r="K138" s="79"/>
      <c r="L138" s="79"/>
      <c r="M138" s="79"/>
    </row>
    <row r="139" spans="1:13" x14ac:dyDescent="0.15">
      <c r="A139" s="79"/>
      <c r="B139" s="79"/>
      <c r="K139" s="79"/>
      <c r="L139" s="79"/>
      <c r="M139" s="79"/>
    </row>
    <row r="140" spans="1:13" x14ac:dyDescent="0.15">
      <c r="A140" s="79"/>
      <c r="B140" s="79"/>
      <c r="K140" s="79"/>
      <c r="L140" s="79"/>
      <c r="M140" s="79"/>
    </row>
    <row r="141" spans="1:13" x14ac:dyDescent="0.15">
      <c r="A141" s="79"/>
      <c r="B141" s="79"/>
      <c r="K141" s="79"/>
      <c r="L141" s="79"/>
      <c r="M141" s="79"/>
    </row>
    <row r="142" spans="1:13" x14ac:dyDescent="0.15">
      <c r="A142" s="79"/>
      <c r="B142" s="79"/>
      <c r="K142" s="79"/>
      <c r="L142" s="79"/>
      <c r="M142" s="79"/>
    </row>
    <row r="143" spans="1:13" x14ac:dyDescent="0.15">
      <c r="A143" s="79"/>
      <c r="B143" s="79"/>
      <c r="K143" s="79"/>
      <c r="L143" s="79"/>
      <c r="M143" s="79"/>
    </row>
    <row r="144" spans="1:13" x14ac:dyDescent="0.15">
      <c r="A144" s="79"/>
      <c r="B144" s="79"/>
      <c r="K144" s="79"/>
      <c r="L144" s="79"/>
      <c r="M144" s="79"/>
    </row>
    <row r="145" spans="1:13" x14ac:dyDescent="0.15">
      <c r="A145" s="79"/>
      <c r="B145" s="79"/>
      <c r="K145" s="79"/>
      <c r="L145" s="79"/>
      <c r="M145" s="79"/>
    </row>
    <row r="146" spans="1:13" x14ac:dyDescent="0.15">
      <c r="A146" s="79"/>
      <c r="B146" s="79"/>
      <c r="K146" s="79"/>
      <c r="L146" s="79"/>
      <c r="M146" s="79"/>
    </row>
    <row r="147" spans="1:13" x14ac:dyDescent="0.15">
      <c r="A147" s="79"/>
      <c r="B147" s="79"/>
      <c r="K147" s="79"/>
      <c r="L147" s="79"/>
      <c r="M147" s="79"/>
    </row>
    <row r="148" spans="1:13" x14ac:dyDescent="0.15">
      <c r="A148" s="79"/>
      <c r="B148" s="79"/>
      <c r="K148" s="79"/>
      <c r="L148" s="79"/>
      <c r="M148" s="79"/>
    </row>
    <row r="149" spans="1:13" x14ac:dyDescent="0.15">
      <c r="A149" s="79"/>
      <c r="B149" s="79"/>
      <c r="K149" s="79"/>
      <c r="L149" s="79"/>
      <c r="M149" s="79"/>
    </row>
    <row r="150" spans="1:13" x14ac:dyDescent="0.15">
      <c r="A150" s="79"/>
      <c r="B150" s="79"/>
      <c r="K150" s="79"/>
      <c r="L150" s="79"/>
      <c r="M150" s="79"/>
    </row>
    <row r="151" spans="1:13" x14ac:dyDescent="0.15">
      <c r="A151" s="79"/>
      <c r="B151" s="79"/>
      <c r="K151" s="79"/>
      <c r="L151" s="79"/>
      <c r="M151" s="79"/>
    </row>
    <row r="152" spans="1:13" x14ac:dyDescent="0.15">
      <c r="A152" s="79"/>
      <c r="B152" s="79"/>
      <c r="K152" s="79"/>
      <c r="L152" s="79"/>
      <c r="M152" s="79"/>
    </row>
    <row r="153" spans="1:13" x14ac:dyDescent="0.15">
      <c r="A153" s="79"/>
      <c r="B153" s="79"/>
      <c r="K153" s="79"/>
      <c r="L153" s="79"/>
      <c r="M153" s="79"/>
    </row>
    <row r="154" spans="1:13" x14ac:dyDescent="0.15">
      <c r="A154" s="79"/>
      <c r="B154" s="79"/>
      <c r="K154" s="79"/>
      <c r="L154" s="79"/>
      <c r="M154" s="79"/>
    </row>
    <row r="155" spans="1:13" x14ac:dyDescent="0.15">
      <c r="A155" s="79"/>
      <c r="B155" s="79"/>
      <c r="K155" s="79"/>
      <c r="L155" s="79"/>
      <c r="M155" s="79"/>
    </row>
    <row r="156" spans="1:13" x14ac:dyDescent="0.15">
      <c r="A156" s="79"/>
      <c r="B156" s="79"/>
      <c r="K156" s="79"/>
      <c r="L156" s="79"/>
      <c r="M156" s="79"/>
    </row>
    <row r="157" spans="1:13" x14ac:dyDescent="0.15">
      <c r="A157" s="79"/>
      <c r="B157" s="79"/>
      <c r="K157" s="79"/>
      <c r="L157" s="79"/>
      <c r="M157" s="79"/>
    </row>
    <row r="158" spans="1:13" x14ac:dyDescent="0.15">
      <c r="A158" s="79"/>
      <c r="B158" s="79"/>
      <c r="K158" s="79"/>
      <c r="L158" s="79"/>
      <c r="M158" s="79"/>
    </row>
    <row r="159" spans="1:13" x14ac:dyDescent="0.15">
      <c r="A159" s="79"/>
      <c r="B159" s="79"/>
      <c r="K159" s="79"/>
      <c r="L159" s="79"/>
      <c r="M159" s="79"/>
    </row>
    <row r="160" spans="1:13" x14ac:dyDescent="0.15">
      <c r="A160" s="79"/>
      <c r="B160" s="79"/>
      <c r="K160" s="79"/>
      <c r="L160" s="79"/>
      <c r="M160" s="79"/>
    </row>
    <row r="161" spans="1:13" x14ac:dyDescent="0.15">
      <c r="A161" s="79"/>
      <c r="B161" s="79"/>
      <c r="K161" s="79"/>
      <c r="L161" s="79"/>
      <c r="M161" s="79"/>
    </row>
    <row r="162" spans="1:13" x14ac:dyDescent="0.15">
      <c r="A162" s="79"/>
      <c r="B162" s="79"/>
      <c r="K162" s="79"/>
      <c r="L162" s="79"/>
      <c r="M162" s="79"/>
    </row>
    <row r="163" spans="1:13" x14ac:dyDescent="0.15">
      <c r="A163" s="79"/>
      <c r="B163" s="79"/>
      <c r="K163" s="79"/>
      <c r="L163" s="79"/>
      <c r="M163" s="79"/>
    </row>
    <row r="164" spans="1:13" x14ac:dyDescent="0.15">
      <c r="A164" s="79"/>
      <c r="B164" s="79"/>
      <c r="K164" s="79"/>
      <c r="L164" s="79"/>
      <c r="M164" s="79"/>
    </row>
    <row r="165" spans="1:13" x14ac:dyDescent="0.15">
      <c r="A165" s="79"/>
      <c r="B165" s="79"/>
      <c r="K165" s="79"/>
      <c r="L165" s="79"/>
      <c r="M165" s="79"/>
    </row>
    <row r="166" spans="1:13" x14ac:dyDescent="0.15">
      <c r="A166" s="79"/>
      <c r="B166" s="79"/>
      <c r="K166" s="79"/>
      <c r="L166" s="79"/>
      <c r="M166" s="79"/>
    </row>
    <row r="167" spans="1:13" x14ac:dyDescent="0.15">
      <c r="A167" s="79"/>
      <c r="B167" s="79"/>
      <c r="K167" s="79"/>
      <c r="L167" s="79"/>
      <c r="M167" s="79"/>
    </row>
    <row r="168" spans="1:13" x14ac:dyDescent="0.15">
      <c r="A168" s="79"/>
      <c r="B168" s="79"/>
      <c r="K168" s="79"/>
      <c r="L168" s="79"/>
      <c r="M168" s="79"/>
    </row>
    <row r="169" spans="1:13" x14ac:dyDescent="0.15">
      <c r="A169" s="79"/>
      <c r="B169" s="79"/>
      <c r="K169" s="79"/>
      <c r="L169" s="79"/>
      <c r="M169" s="79"/>
    </row>
    <row r="170" spans="1:13" x14ac:dyDescent="0.15">
      <c r="A170" s="79"/>
      <c r="B170" s="79"/>
      <c r="K170" s="79"/>
      <c r="L170" s="79"/>
      <c r="M170" s="79"/>
    </row>
    <row r="171" spans="1:13" x14ac:dyDescent="0.15">
      <c r="A171" s="79"/>
      <c r="B171" s="79"/>
      <c r="K171" s="79"/>
      <c r="L171" s="79"/>
      <c r="M171" s="79"/>
    </row>
    <row r="172" spans="1:13" x14ac:dyDescent="0.15">
      <c r="A172" s="79"/>
      <c r="B172" s="79"/>
      <c r="K172" s="79"/>
      <c r="L172" s="79"/>
      <c r="M172" s="79"/>
    </row>
    <row r="173" spans="1:13" x14ac:dyDescent="0.15">
      <c r="A173" s="79"/>
      <c r="B173" s="79"/>
      <c r="K173" s="79"/>
      <c r="L173" s="79"/>
      <c r="M173" s="79"/>
    </row>
    <row r="174" spans="1:13" x14ac:dyDescent="0.15">
      <c r="A174" s="79"/>
      <c r="B174" s="79"/>
      <c r="K174" s="79"/>
      <c r="L174" s="79"/>
      <c r="M174" s="79"/>
    </row>
    <row r="175" spans="1:13" x14ac:dyDescent="0.15">
      <c r="A175" s="79"/>
      <c r="B175" s="79"/>
      <c r="K175" s="79"/>
      <c r="L175" s="79"/>
      <c r="M175" s="79"/>
    </row>
    <row r="176" spans="1:13" x14ac:dyDescent="0.15">
      <c r="A176" s="79"/>
      <c r="B176" s="79"/>
      <c r="K176" s="79"/>
      <c r="L176" s="79"/>
      <c r="M176" s="79"/>
    </row>
    <row r="177" spans="1:13" x14ac:dyDescent="0.15">
      <c r="A177" s="79"/>
      <c r="B177" s="79"/>
      <c r="K177" s="79"/>
      <c r="L177" s="79"/>
      <c r="M177" s="79"/>
    </row>
    <row r="178" spans="1:13" x14ac:dyDescent="0.15">
      <c r="A178" s="79"/>
      <c r="B178" s="79"/>
      <c r="K178" s="79"/>
      <c r="L178" s="79"/>
      <c r="M178" s="79"/>
    </row>
    <row r="179" spans="1:13" x14ac:dyDescent="0.15">
      <c r="A179" s="79"/>
      <c r="B179" s="79"/>
      <c r="K179" s="79"/>
      <c r="L179" s="79"/>
      <c r="M179" s="79"/>
    </row>
    <row r="180" spans="1:13" x14ac:dyDescent="0.15">
      <c r="A180" s="79"/>
      <c r="B180" s="79"/>
      <c r="K180" s="79"/>
      <c r="L180" s="79"/>
      <c r="M180" s="79"/>
    </row>
    <row r="181" spans="1:13" x14ac:dyDescent="0.15">
      <c r="A181" s="79"/>
      <c r="B181" s="79"/>
      <c r="K181" s="79"/>
      <c r="L181" s="79"/>
      <c r="M181" s="79"/>
    </row>
    <row r="182" spans="1:13" x14ac:dyDescent="0.15">
      <c r="A182" s="79"/>
      <c r="B182" s="79"/>
      <c r="K182" s="79"/>
      <c r="L182" s="79"/>
      <c r="M182" s="79"/>
    </row>
    <row r="183" spans="1:13" x14ac:dyDescent="0.15">
      <c r="A183" s="79"/>
      <c r="B183" s="79"/>
      <c r="K183" s="79"/>
      <c r="L183" s="79"/>
      <c r="M183" s="79"/>
    </row>
    <row r="184" spans="1:13" x14ac:dyDescent="0.15">
      <c r="A184" s="79"/>
      <c r="B184" s="79"/>
      <c r="K184" s="79"/>
      <c r="L184" s="79"/>
      <c r="M184" s="79"/>
    </row>
    <row r="185" spans="1:13" x14ac:dyDescent="0.15">
      <c r="A185" s="79"/>
      <c r="B185" s="79"/>
      <c r="K185" s="79"/>
      <c r="L185" s="79"/>
      <c r="M185" s="79"/>
    </row>
    <row r="186" spans="1:13" x14ac:dyDescent="0.15">
      <c r="A186" s="79"/>
      <c r="B186" s="79"/>
      <c r="K186" s="79"/>
      <c r="L186" s="79"/>
      <c r="M186" s="79"/>
    </row>
    <row r="187" spans="1:13" x14ac:dyDescent="0.15">
      <c r="A187" s="79"/>
      <c r="B187" s="79"/>
      <c r="K187" s="79"/>
      <c r="L187" s="79"/>
      <c r="M187" s="79"/>
    </row>
    <row r="188" spans="1:13" x14ac:dyDescent="0.15">
      <c r="A188" s="79"/>
      <c r="B188" s="79"/>
      <c r="K188" s="79"/>
      <c r="L188" s="79"/>
      <c r="M188" s="79"/>
    </row>
    <row r="189" spans="1:13" x14ac:dyDescent="0.15">
      <c r="A189" s="79"/>
      <c r="B189" s="79"/>
      <c r="K189" s="79"/>
      <c r="L189" s="79"/>
      <c r="M189" s="79"/>
    </row>
    <row r="190" spans="1:13" x14ac:dyDescent="0.15">
      <c r="A190" s="79"/>
      <c r="B190" s="79"/>
      <c r="K190" s="79"/>
      <c r="L190" s="79"/>
      <c r="M190" s="79"/>
    </row>
    <row r="191" spans="1:13" x14ac:dyDescent="0.15">
      <c r="A191" s="79"/>
      <c r="B191" s="79"/>
      <c r="K191" s="79"/>
      <c r="L191" s="79"/>
      <c r="M191" s="79"/>
    </row>
    <row r="192" spans="1:13" x14ac:dyDescent="0.15">
      <c r="A192" s="79"/>
      <c r="B192" s="79"/>
      <c r="K192" s="79"/>
      <c r="L192" s="79"/>
      <c r="M192" s="79"/>
    </row>
    <row r="193" spans="1:13" x14ac:dyDescent="0.15">
      <c r="A193" s="79"/>
      <c r="B193" s="79"/>
      <c r="K193" s="79"/>
      <c r="L193" s="79"/>
      <c r="M193" s="79"/>
    </row>
    <row r="194" spans="1:13" x14ac:dyDescent="0.15">
      <c r="A194" s="79"/>
      <c r="B194" s="79"/>
      <c r="K194" s="79"/>
      <c r="L194" s="79"/>
      <c r="M194" s="79"/>
    </row>
    <row r="195" spans="1:13" x14ac:dyDescent="0.15">
      <c r="A195" s="79"/>
      <c r="B195" s="79"/>
      <c r="K195" s="79"/>
      <c r="L195" s="79"/>
      <c r="M195" s="79"/>
    </row>
    <row r="196" spans="1:13" x14ac:dyDescent="0.15">
      <c r="A196" s="79"/>
      <c r="B196" s="79"/>
      <c r="K196" s="79"/>
      <c r="L196" s="79"/>
      <c r="M196" s="79"/>
    </row>
    <row r="197" spans="1:13" x14ac:dyDescent="0.15">
      <c r="A197" s="79"/>
      <c r="B197" s="79"/>
      <c r="K197" s="79"/>
      <c r="L197" s="79"/>
      <c r="M197" s="79"/>
    </row>
    <row r="198" spans="1:13" x14ac:dyDescent="0.15">
      <c r="A198" s="79"/>
      <c r="B198" s="79"/>
      <c r="K198" s="79"/>
      <c r="L198" s="79"/>
      <c r="M198" s="79"/>
    </row>
    <row r="199" spans="1:13" x14ac:dyDescent="0.15">
      <c r="A199" s="79"/>
      <c r="B199" s="79"/>
      <c r="K199" s="79"/>
      <c r="L199" s="79"/>
      <c r="M199" s="79"/>
    </row>
    <row r="200" spans="1:13" x14ac:dyDescent="0.15">
      <c r="A200" s="79"/>
      <c r="B200" s="79"/>
      <c r="K200" s="79"/>
      <c r="L200" s="79"/>
      <c r="M200" s="79"/>
    </row>
    <row r="201" spans="1:13" x14ac:dyDescent="0.15">
      <c r="A201" s="79"/>
      <c r="B201" s="79"/>
      <c r="K201" s="79"/>
      <c r="L201" s="79"/>
      <c r="M201" s="79"/>
    </row>
    <row r="202" spans="1:13" x14ac:dyDescent="0.15">
      <c r="A202" s="79"/>
      <c r="B202" s="79"/>
      <c r="K202" s="79"/>
      <c r="L202" s="79"/>
      <c r="M202" s="79"/>
    </row>
    <row r="203" spans="1:13" x14ac:dyDescent="0.15">
      <c r="A203" s="79"/>
      <c r="B203" s="79"/>
      <c r="K203" s="79"/>
      <c r="L203" s="79"/>
      <c r="M203" s="79"/>
    </row>
    <row r="204" spans="1:13" x14ac:dyDescent="0.15">
      <c r="A204" s="79"/>
      <c r="B204" s="79"/>
      <c r="K204" s="79"/>
      <c r="L204" s="79"/>
      <c r="M204" s="79"/>
    </row>
    <row r="205" spans="1:13" x14ac:dyDescent="0.15">
      <c r="A205" s="79"/>
      <c r="B205" s="79"/>
      <c r="K205" s="79"/>
      <c r="L205" s="79"/>
      <c r="M205" s="79"/>
    </row>
    <row r="206" spans="1:13" x14ac:dyDescent="0.15">
      <c r="A206" s="79"/>
      <c r="B206" s="79"/>
      <c r="K206" s="79"/>
      <c r="L206" s="79"/>
      <c r="M206" s="79"/>
    </row>
    <row r="207" spans="1:13" x14ac:dyDescent="0.15">
      <c r="A207" s="79"/>
      <c r="B207" s="79"/>
      <c r="K207" s="79"/>
      <c r="L207" s="79"/>
      <c r="M207" s="79"/>
    </row>
    <row r="208" spans="1:13" x14ac:dyDescent="0.15">
      <c r="A208" s="79"/>
      <c r="B208" s="79"/>
      <c r="K208" s="79"/>
      <c r="L208" s="79"/>
      <c r="M208" s="79"/>
    </row>
    <row r="209" spans="1:13" x14ac:dyDescent="0.15">
      <c r="A209" s="79"/>
      <c r="B209" s="79"/>
      <c r="K209" s="79"/>
      <c r="L209" s="79"/>
      <c r="M209" s="79"/>
    </row>
    <row r="210" spans="1:13" x14ac:dyDescent="0.15">
      <c r="A210" s="79"/>
      <c r="B210" s="79"/>
      <c r="K210" s="79"/>
      <c r="L210" s="79"/>
      <c r="M210" s="79"/>
    </row>
    <row r="211" spans="1:13" x14ac:dyDescent="0.15">
      <c r="A211" s="79"/>
      <c r="B211" s="79"/>
      <c r="K211" s="79"/>
      <c r="L211" s="79"/>
      <c r="M211" s="79"/>
    </row>
    <row r="212" spans="1:13" x14ac:dyDescent="0.15">
      <c r="A212" s="79"/>
      <c r="B212" s="79"/>
      <c r="K212" s="79"/>
      <c r="L212" s="79"/>
      <c r="M212" s="79"/>
    </row>
    <row r="213" spans="1:13" x14ac:dyDescent="0.15">
      <c r="A213" s="79"/>
      <c r="B213" s="79"/>
      <c r="K213" s="79"/>
      <c r="L213" s="79"/>
      <c r="M213" s="79"/>
    </row>
    <row r="214" spans="1:13" x14ac:dyDescent="0.15">
      <c r="A214" s="79"/>
      <c r="B214" s="79"/>
      <c r="K214" s="79"/>
      <c r="L214" s="79"/>
      <c r="M214" s="79"/>
    </row>
    <row r="215" spans="1:13" x14ac:dyDescent="0.15">
      <c r="A215" s="79"/>
      <c r="B215" s="79"/>
      <c r="K215" s="79"/>
      <c r="L215" s="79"/>
      <c r="M215" s="79"/>
    </row>
    <row r="216" spans="1:13" x14ac:dyDescent="0.15">
      <c r="A216" s="79"/>
      <c r="B216" s="79"/>
      <c r="K216" s="79"/>
      <c r="L216" s="79"/>
      <c r="M216" s="79"/>
    </row>
    <row r="217" spans="1:13" x14ac:dyDescent="0.15">
      <c r="A217" s="79"/>
      <c r="B217" s="79"/>
      <c r="K217" s="79"/>
      <c r="L217" s="79"/>
      <c r="M217" s="79"/>
    </row>
    <row r="218" spans="1:13" x14ac:dyDescent="0.15">
      <c r="A218" s="79"/>
      <c r="B218" s="79"/>
      <c r="K218" s="79"/>
      <c r="L218" s="79"/>
      <c r="M218" s="79"/>
    </row>
    <row r="219" spans="1:13" x14ac:dyDescent="0.15">
      <c r="A219" s="79"/>
      <c r="B219" s="79"/>
      <c r="K219" s="79"/>
      <c r="L219" s="79"/>
      <c r="M219" s="79"/>
    </row>
    <row r="220" spans="1:13" x14ac:dyDescent="0.15">
      <c r="A220" s="79"/>
      <c r="B220" s="79"/>
      <c r="K220" s="79"/>
      <c r="L220" s="79"/>
      <c r="M220" s="79"/>
    </row>
    <row r="221" spans="1:13" x14ac:dyDescent="0.15">
      <c r="A221" s="79"/>
      <c r="B221" s="79"/>
      <c r="K221" s="79"/>
      <c r="L221" s="79"/>
      <c r="M221" s="79"/>
    </row>
    <row r="222" spans="1:13" x14ac:dyDescent="0.15">
      <c r="A222" s="79"/>
      <c r="B222" s="79"/>
      <c r="K222" s="79"/>
      <c r="L222" s="79"/>
      <c r="M222" s="79"/>
    </row>
    <row r="223" spans="1:13" x14ac:dyDescent="0.15">
      <c r="A223" s="79"/>
      <c r="B223" s="79"/>
      <c r="K223" s="79"/>
      <c r="L223" s="79"/>
      <c r="M223" s="79"/>
    </row>
    <row r="224" spans="1:13" x14ac:dyDescent="0.15">
      <c r="A224" s="79"/>
      <c r="B224" s="79"/>
      <c r="K224" s="79"/>
      <c r="L224" s="79"/>
      <c r="M224" s="79"/>
    </row>
    <row r="225" spans="1:13" x14ac:dyDescent="0.15">
      <c r="A225" s="79"/>
      <c r="B225" s="79"/>
      <c r="K225" s="79"/>
      <c r="L225" s="79"/>
      <c r="M225" s="79"/>
    </row>
    <row r="226" spans="1:13" x14ac:dyDescent="0.15">
      <c r="A226" s="79"/>
      <c r="B226" s="79"/>
      <c r="K226" s="79"/>
      <c r="L226" s="79"/>
      <c r="M226" s="79"/>
    </row>
    <row r="227" spans="1:13" x14ac:dyDescent="0.15">
      <c r="A227" s="79"/>
      <c r="B227" s="79"/>
      <c r="K227" s="79"/>
      <c r="L227" s="79"/>
      <c r="M227" s="79"/>
    </row>
    <row r="228" spans="1:13" x14ac:dyDescent="0.15">
      <c r="A228" s="79"/>
      <c r="B228" s="79"/>
      <c r="K228" s="79"/>
      <c r="L228" s="79"/>
      <c r="M228" s="79"/>
    </row>
    <row r="229" spans="1:13" x14ac:dyDescent="0.15">
      <c r="A229" s="79"/>
      <c r="B229" s="79"/>
      <c r="K229" s="79"/>
      <c r="L229" s="79"/>
      <c r="M229" s="79"/>
    </row>
    <row r="230" spans="1:13" x14ac:dyDescent="0.15">
      <c r="A230" s="79"/>
      <c r="B230" s="79"/>
      <c r="K230" s="79"/>
      <c r="L230" s="79"/>
      <c r="M230" s="79"/>
    </row>
    <row r="231" spans="1:13" x14ac:dyDescent="0.15">
      <c r="A231" s="79"/>
      <c r="B231" s="79"/>
      <c r="K231" s="79"/>
      <c r="L231" s="79"/>
      <c r="M231" s="79"/>
    </row>
    <row r="232" spans="1:13" x14ac:dyDescent="0.15">
      <c r="A232" s="79"/>
      <c r="B232" s="79"/>
      <c r="K232" s="79"/>
      <c r="L232" s="79"/>
      <c r="M232" s="79"/>
    </row>
    <row r="233" spans="1:13" x14ac:dyDescent="0.15">
      <c r="A233" s="79"/>
      <c r="B233" s="79"/>
      <c r="K233" s="79"/>
      <c r="L233" s="79"/>
      <c r="M233" s="79"/>
    </row>
    <row r="234" spans="1:13" x14ac:dyDescent="0.15">
      <c r="A234" s="79"/>
      <c r="B234" s="79"/>
      <c r="K234" s="79"/>
      <c r="L234" s="79"/>
      <c r="M234" s="79"/>
    </row>
    <row r="235" spans="1:13" x14ac:dyDescent="0.15">
      <c r="A235" s="79"/>
      <c r="B235" s="79"/>
      <c r="K235" s="79"/>
      <c r="L235" s="79"/>
      <c r="M235" s="79"/>
    </row>
    <row r="236" spans="1:13" x14ac:dyDescent="0.15">
      <c r="A236" s="79"/>
      <c r="B236" s="79"/>
      <c r="K236" s="79"/>
      <c r="L236" s="79"/>
      <c r="M236" s="79"/>
    </row>
    <row r="237" spans="1:13" x14ac:dyDescent="0.15">
      <c r="A237" s="79"/>
      <c r="B237" s="79"/>
      <c r="K237" s="79"/>
      <c r="L237" s="79"/>
      <c r="M237" s="79"/>
    </row>
    <row r="238" spans="1:13" x14ac:dyDescent="0.15">
      <c r="A238" s="79"/>
      <c r="B238" s="79"/>
      <c r="K238" s="79"/>
      <c r="L238" s="79"/>
      <c r="M238" s="79"/>
    </row>
    <row r="239" spans="1:13" x14ac:dyDescent="0.15">
      <c r="A239" s="79"/>
      <c r="B239" s="79"/>
      <c r="K239" s="79"/>
      <c r="L239" s="79"/>
      <c r="M239" s="79"/>
    </row>
    <row r="240" spans="1:13" x14ac:dyDescent="0.15">
      <c r="A240" s="79"/>
      <c r="B240" s="79"/>
      <c r="K240" s="79"/>
      <c r="L240" s="79"/>
      <c r="M240" s="79"/>
    </row>
    <row r="241" spans="1:13" x14ac:dyDescent="0.15">
      <c r="A241" s="79"/>
      <c r="B241" s="79"/>
      <c r="K241" s="79"/>
      <c r="L241" s="79"/>
      <c r="M241" s="79"/>
    </row>
    <row r="242" spans="1:13" x14ac:dyDescent="0.15">
      <c r="A242" s="79"/>
      <c r="B242" s="79"/>
      <c r="K242" s="79"/>
      <c r="L242" s="79"/>
      <c r="M242" s="79"/>
    </row>
    <row r="243" spans="1:13" x14ac:dyDescent="0.15">
      <c r="A243" s="79"/>
      <c r="B243" s="79"/>
      <c r="K243" s="79"/>
      <c r="L243" s="79"/>
      <c r="M243" s="79"/>
    </row>
    <row r="244" spans="1:13" x14ac:dyDescent="0.15">
      <c r="A244" s="79"/>
      <c r="B244" s="79"/>
      <c r="K244" s="79"/>
      <c r="L244" s="79"/>
      <c r="M244" s="79"/>
    </row>
    <row r="245" spans="1:13" x14ac:dyDescent="0.15">
      <c r="A245" s="79"/>
      <c r="B245" s="79"/>
      <c r="K245" s="79"/>
      <c r="L245" s="79"/>
      <c r="M245" s="79"/>
    </row>
    <row r="246" spans="1:13" x14ac:dyDescent="0.15">
      <c r="A246" s="79"/>
      <c r="B246" s="79"/>
      <c r="K246" s="79"/>
      <c r="L246" s="79"/>
      <c r="M246" s="79"/>
    </row>
    <row r="247" spans="1:13" x14ac:dyDescent="0.15">
      <c r="A247" s="79"/>
      <c r="B247" s="79"/>
      <c r="K247" s="79"/>
      <c r="L247" s="79"/>
      <c r="M247" s="79"/>
    </row>
    <row r="248" spans="1:13" x14ac:dyDescent="0.15">
      <c r="A248" s="79"/>
      <c r="B248" s="79"/>
      <c r="K248" s="79"/>
      <c r="L248" s="79"/>
      <c r="M248" s="79"/>
    </row>
    <row r="249" spans="1:13" x14ac:dyDescent="0.15">
      <c r="A249" s="79"/>
      <c r="B249" s="79"/>
      <c r="K249" s="79"/>
      <c r="L249" s="79"/>
      <c r="M249" s="79"/>
    </row>
    <row r="250" spans="1:13" x14ac:dyDescent="0.15">
      <c r="A250" s="79"/>
      <c r="B250" s="79"/>
      <c r="K250" s="79"/>
      <c r="L250" s="79"/>
      <c r="M250" s="79"/>
    </row>
    <row r="251" spans="1:13" x14ac:dyDescent="0.15">
      <c r="A251" s="79"/>
      <c r="B251" s="79"/>
      <c r="K251" s="79"/>
      <c r="L251" s="79"/>
      <c r="M251" s="79"/>
    </row>
    <row r="252" spans="1:13" x14ac:dyDescent="0.15">
      <c r="A252" s="79"/>
      <c r="B252" s="79"/>
      <c r="K252" s="79"/>
      <c r="L252" s="79"/>
      <c r="M252" s="79"/>
    </row>
    <row r="253" spans="1:13" x14ac:dyDescent="0.15">
      <c r="A253" s="79"/>
      <c r="B253" s="79"/>
      <c r="K253" s="79"/>
      <c r="L253" s="79"/>
      <c r="M253" s="79"/>
    </row>
    <row r="254" spans="1:13" x14ac:dyDescent="0.15">
      <c r="A254" s="79"/>
      <c r="B254" s="79"/>
      <c r="K254" s="79"/>
      <c r="L254" s="79"/>
      <c r="M254" s="79"/>
    </row>
    <row r="255" spans="1:13" x14ac:dyDescent="0.15">
      <c r="A255" s="79"/>
      <c r="B255" s="79"/>
      <c r="K255" s="79"/>
      <c r="L255" s="79"/>
      <c r="M255" s="79"/>
    </row>
    <row r="256" spans="1:13" x14ac:dyDescent="0.15">
      <c r="A256" s="79"/>
      <c r="B256" s="79"/>
      <c r="K256" s="79"/>
      <c r="L256" s="79"/>
      <c r="M256" s="79"/>
    </row>
    <row r="257" spans="1:13" x14ac:dyDescent="0.15">
      <c r="A257" s="79"/>
      <c r="B257" s="79"/>
      <c r="K257" s="79"/>
      <c r="L257" s="79"/>
      <c r="M257" s="79"/>
    </row>
    <row r="258" spans="1:13" x14ac:dyDescent="0.15">
      <c r="A258" s="79"/>
      <c r="B258" s="79"/>
      <c r="K258" s="79"/>
      <c r="L258" s="79"/>
      <c r="M258" s="79"/>
    </row>
    <row r="259" spans="1:13" x14ac:dyDescent="0.15">
      <c r="A259" s="79"/>
      <c r="B259" s="79"/>
      <c r="K259" s="79"/>
      <c r="L259" s="79"/>
      <c r="M259" s="79"/>
    </row>
    <row r="260" spans="1:13" x14ac:dyDescent="0.15">
      <c r="A260" s="79"/>
      <c r="B260" s="79"/>
      <c r="K260" s="79"/>
      <c r="L260" s="79"/>
      <c r="M260" s="79"/>
    </row>
    <row r="261" spans="1:13" x14ac:dyDescent="0.15">
      <c r="A261" s="79"/>
      <c r="B261" s="79"/>
      <c r="K261" s="79"/>
      <c r="L261" s="79"/>
      <c r="M261" s="79"/>
    </row>
    <row r="262" spans="1:13" x14ac:dyDescent="0.15">
      <c r="A262" s="79"/>
      <c r="B262" s="79"/>
      <c r="K262" s="79"/>
      <c r="L262" s="79"/>
      <c r="M262" s="79"/>
    </row>
    <row r="263" spans="1:13" x14ac:dyDescent="0.15">
      <c r="A263" s="79"/>
      <c r="B263" s="79"/>
      <c r="K263" s="79"/>
      <c r="L263" s="79"/>
      <c r="M263" s="79"/>
    </row>
    <row r="264" spans="1:13" x14ac:dyDescent="0.15">
      <c r="A264" s="79"/>
      <c r="B264" s="79"/>
      <c r="K264" s="79"/>
      <c r="L264" s="79"/>
      <c r="M264" s="79"/>
    </row>
    <row r="265" spans="1:13" x14ac:dyDescent="0.15">
      <c r="A265" s="79"/>
      <c r="B265" s="79"/>
      <c r="K265" s="79"/>
      <c r="L265" s="79"/>
      <c r="M265" s="79"/>
    </row>
    <row r="266" spans="1:13" x14ac:dyDescent="0.15">
      <c r="A266" s="79"/>
      <c r="B266" s="79"/>
      <c r="K266" s="79"/>
      <c r="L266" s="79"/>
      <c r="M266" s="79"/>
    </row>
    <row r="267" spans="1:13" x14ac:dyDescent="0.15">
      <c r="A267" s="79"/>
      <c r="B267" s="79"/>
      <c r="K267" s="79"/>
      <c r="L267" s="79"/>
      <c r="M267" s="79"/>
    </row>
    <row r="268" spans="1:13" x14ac:dyDescent="0.15">
      <c r="A268" s="79"/>
      <c r="B268" s="79"/>
      <c r="K268" s="79"/>
      <c r="L268" s="79"/>
      <c r="M268" s="79"/>
    </row>
    <row r="269" spans="1:13" x14ac:dyDescent="0.15">
      <c r="A269" s="79"/>
      <c r="B269" s="79"/>
      <c r="K269" s="79"/>
      <c r="L269" s="79"/>
      <c r="M269" s="79"/>
    </row>
    <row r="270" spans="1:13" x14ac:dyDescent="0.15">
      <c r="A270" s="79"/>
      <c r="B270" s="79"/>
      <c r="K270" s="79"/>
      <c r="L270" s="79"/>
      <c r="M270" s="79"/>
    </row>
    <row r="271" spans="1:13" x14ac:dyDescent="0.15">
      <c r="A271" s="79"/>
      <c r="B271" s="79"/>
      <c r="K271" s="79"/>
      <c r="L271" s="79"/>
      <c r="M271" s="79"/>
    </row>
    <row r="272" spans="1:13" x14ac:dyDescent="0.15">
      <c r="A272" s="79"/>
      <c r="B272" s="79"/>
      <c r="K272" s="79"/>
      <c r="L272" s="79"/>
      <c r="M272" s="79"/>
    </row>
    <row r="273" spans="1:13" x14ac:dyDescent="0.15">
      <c r="A273" s="79"/>
      <c r="B273" s="79"/>
      <c r="K273" s="79"/>
      <c r="L273" s="79"/>
      <c r="M273" s="79"/>
    </row>
    <row r="274" spans="1:13" x14ac:dyDescent="0.15">
      <c r="A274" s="79"/>
      <c r="B274" s="79"/>
      <c r="K274" s="79"/>
      <c r="L274" s="79"/>
      <c r="M274" s="79"/>
    </row>
    <row r="275" spans="1:13" x14ac:dyDescent="0.15">
      <c r="A275" s="79"/>
      <c r="B275" s="79"/>
      <c r="K275" s="79"/>
      <c r="L275" s="79"/>
      <c r="M275" s="79"/>
    </row>
    <row r="276" spans="1:13" x14ac:dyDescent="0.15">
      <c r="A276" s="79"/>
      <c r="B276" s="79"/>
      <c r="K276" s="79"/>
      <c r="L276" s="79"/>
      <c r="M276" s="79"/>
    </row>
    <row r="277" spans="1:13" x14ac:dyDescent="0.15">
      <c r="A277" s="79"/>
      <c r="B277" s="79"/>
      <c r="K277" s="79"/>
      <c r="L277" s="79"/>
      <c r="M277" s="79"/>
    </row>
    <row r="278" spans="1:13" x14ac:dyDescent="0.15">
      <c r="A278" s="79"/>
      <c r="B278" s="79"/>
      <c r="K278" s="79"/>
      <c r="L278" s="79"/>
      <c r="M278" s="79"/>
    </row>
    <row r="279" spans="1:13" x14ac:dyDescent="0.15">
      <c r="A279" s="79"/>
      <c r="B279" s="79"/>
      <c r="K279" s="79"/>
      <c r="L279" s="79"/>
      <c r="M279" s="79"/>
    </row>
    <row r="280" spans="1:13" x14ac:dyDescent="0.15">
      <c r="A280" s="79"/>
      <c r="B280" s="79"/>
      <c r="K280" s="79"/>
      <c r="L280" s="79"/>
      <c r="M280" s="79"/>
    </row>
    <row r="281" spans="1:13" x14ac:dyDescent="0.15">
      <c r="A281" s="79"/>
      <c r="B281" s="79"/>
      <c r="K281" s="79"/>
      <c r="L281" s="79"/>
      <c r="M281" s="79"/>
    </row>
    <row r="282" spans="1:13" x14ac:dyDescent="0.15">
      <c r="A282" s="79"/>
      <c r="B282" s="79"/>
      <c r="K282" s="79"/>
      <c r="L282" s="79"/>
      <c r="M282" s="79"/>
    </row>
    <row r="283" spans="1:13" x14ac:dyDescent="0.15">
      <c r="A283" s="79"/>
      <c r="B283" s="79"/>
      <c r="K283" s="79"/>
      <c r="L283" s="79"/>
      <c r="M283" s="79"/>
    </row>
    <row r="284" spans="1:13" x14ac:dyDescent="0.15">
      <c r="A284" s="79"/>
      <c r="B284" s="79"/>
      <c r="K284" s="79"/>
      <c r="L284" s="79"/>
      <c r="M284" s="79"/>
    </row>
    <row r="285" spans="1:13" x14ac:dyDescent="0.15">
      <c r="A285" s="79"/>
      <c r="B285" s="79"/>
      <c r="K285" s="79"/>
      <c r="L285" s="79"/>
      <c r="M285" s="79"/>
    </row>
    <row r="286" spans="1:13" x14ac:dyDescent="0.15">
      <c r="A286" s="79"/>
      <c r="B286" s="79"/>
      <c r="K286" s="79"/>
      <c r="L286" s="79"/>
      <c r="M286" s="79"/>
    </row>
    <row r="287" spans="1:13" x14ac:dyDescent="0.15">
      <c r="A287" s="79"/>
      <c r="B287" s="79"/>
      <c r="K287" s="79"/>
      <c r="L287" s="79"/>
      <c r="M287" s="79"/>
    </row>
    <row r="288" spans="1:13" x14ac:dyDescent="0.15">
      <c r="A288" s="79"/>
      <c r="B288" s="79"/>
      <c r="K288" s="79"/>
      <c r="L288" s="79"/>
      <c r="M288" s="79"/>
    </row>
    <row r="289" spans="1:13" x14ac:dyDescent="0.15">
      <c r="A289" s="79"/>
      <c r="B289" s="79"/>
      <c r="K289" s="79"/>
      <c r="L289" s="79"/>
      <c r="M289" s="79"/>
    </row>
    <row r="290" spans="1:13" x14ac:dyDescent="0.15">
      <c r="A290" s="79"/>
      <c r="B290" s="79"/>
      <c r="K290" s="79"/>
      <c r="L290" s="79"/>
      <c r="M290" s="79"/>
    </row>
    <row r="291" spans="1:13" x14ac:dyDescent="0.15">
      <c r="A291" s="79"/>
      <c r="B291" s="79"/>
      <c r="K291" s="79"/>
      <c r="L291" s="79"/>
      <c r="M291" s="79"/>
    </row>
    <row r="292" spans="1:13" x14ac:dyDescent="0.15">
      <c r="A292" s="79"/>
      <c r="B292" s="79"/>
      <c r="K292" s="79"/>
      <c r="L292" s="79"/>
      <c r="M292" s="79"/>
    </row>
    <row r="293" spans="1:13" x14ac:dyDescent="0.15">
      <c r="A293" s="79"/>
      <c r="B293" s="79"/>
      <c r="K293" s="79"/>
      <c r="L293" s="79"/>
      <c r="M293" s="79"/>
    </row>
    <row r="294" spans="1:13" x14ac:dyDescent="0.15">
      <c r="A294" s="79"/>
      <c r="B294" s="79"/>
      <c r="K294" s="79"/>
      <c r="L294" s="79"/>
      <c r="M294" s="79"/>
    </row>
    <row r="295" spans="1:13" x14ac:dyDescent="0.15">
      <c r="A295" s="79"/>
      <c r="B295" s="79"/>
      <c r="K295" s="79"/>
      <c r="L295" s="79"/>
      <c r="M295" s="79"/>
    </row>
    <row r="296" spans="1:13" x14ac:dyDescent="0.15">
      <c r="A296" s="79"/>
      <c r="B296" s="79"/>
      <c r="K296" s="79"/>
      <c r="L296" s="79"/>
      <c r="M296" s="79"/>
    </row>
    <row r="297" spans="1:13" x14ac:dyDescent="0.15">
      <c r="A297" s="79"/>
      <c r="B297" s="79"/>
      <c r="K297" s="79"/>
      <c r="L297" s="79"/>
      <c r="M297" s="79"/>
    </row>
    <row r="298" spans="1:13" x14ac:dyDescent="0.15">
      <c r="A298" s="79"/>
      <c r="B298" s="79"/>
      <c r="K298" s="79"/>
      <c r="L298" s="79"/>
      <c r="M298" s="79"/>
    </row>
    <row r="299" spans="1:13" x14ac:dyDescent="0.15">
      <c r="A299" s="79"/>
      <c r="B299" s="79"/>
      <c r="K299" s="79"/>
      <c r="L299" s="79"/>
      <c r="M299" s="79"/>
    </row>
    <row r="300" spans="1:13" x14ac:dyDescent="0.15">
      <c r="A300" s="79"/>
      <c r="B300" s="79"/>
      <c r="K300" s="79"/>
      <c r="L300" s="79"/>
      <c r="M300" s="79"/>
    </row>
    <row r="301" spans="1:13" x14ac:dyDescent="0.15">
      <c r="A301" s="79"/>
      <c r="B301" s="79"/>
      <c r="K301" s="79"/>
      <c r="L301" s="79"/>
      <c r="M301" s="79"/>
    </row>
    <row r="302" spans="1:13" x14ac:dyDescent="0.15">
      <c r="A302" s="79"/>
      <c r="B302" s="79"/>
      <c r="K302" s="79"/>
      <c r="L302" s="79"/>
      <c r="M302" s="79"/>
    </row>
    <row r="303" spans="1:13" x14ac:dyDescent="0.15">
      <c r="A303" s="79"/>
      <c r="B303" s="79"/>
      <c r="K303" s="79"/>
      <c r="L303" s="79"/>
      <c r="M303" s="79"/>
    </row>
    <row r="304" spans="1:13" x14ac:dyDescent="0.15">
      <c r="A304" s="79"/>
      <c r="B304" s="79"/>
      <c r="K304" s="79"/>
      <c r="L304" s="79"/>
      <c r="M304" s="79"/>
    </row>
    <row r="305" spans="1:13" x14ac:dyDescent="0.15">
      <c r="A305" s="79"/>
      <c r="B305" s="79"/>
      <c r="K305" s="79"/>
      <c r="L305" s="79"/>
      <c r="M305" s="79"/>
    </row>
    <row r="306" spans="1:13" x14ac:dyDescent="0.15">
      <c r="A306" s="79"/>
      <c r="B306" s="79"/>
      <c r="K306" s="79"/>
      <c r="L306" s="79"/>
      <c r="M306" s="79"/>
    </row>
    <row r="307" spans="1:13" x14ac:dyDescent="0.15">
      <c r="A307" s="79"/>
      <c r="B307" s="79"/>
      <c r="K307" s="79"/>
      <c r="L307" s="79"/>
      <c r="M307" s="79"/>
    </row>
    <row r="308" spans="1:13" x14ac:dyDescent="0.15">
      <c r="A308" s="79"/>
      <c r="B308" s="79"/>
      <c r="K308" s="79"/>
      <c r="L308" s="79"/>
      <c r="M308" s="79"/>
    </row>
    <row r="309" spans="1:13" x14ac:dyDescent="0.15">
      <c r="A309" s="79"/>
      <c r="B309" s="79"/>
      <c r="K309" s="79"/>
      <c r="L309" s="79"/>
      <c r="M309" s="79"/>
    </row>
    <row r="310" spans="1:13" x14ac:dyDescent="0.15">
      <c r="A310" s="79"/>
      <c r="B310" s="79"/>
      <c r="K310" s="79"/>
      <c r="L310" s="79"/>
      <c r="M310" s="79"/>
    </row>
    <row r="311" spans="1:13" x14ac:dyDescent="0.15">
      <c r="A311" s="79"/>
      <c r="B311" s="79"/>
      <c r="K311" s="79"/>
      <c r="L311" s="79"/>
      <c r="M311" s="79"/>
    </row>
    <row r="312" spans="1:13" x14ac:dyDescent="0.15">
      <c r="A312" s="79"/>
      <c r="B312" s="79"/>
      <c r="K312" s="79"/>
      <c r="L312" s="79"/>
      <c r="M312" s="79"/>
    </row>
    <row r="313" spans="1:13" x14ac:dyDescent="0.15">
      <c r="A313" s="79"/>
      <c r="B313" s="79"/>
      <c r="K313" s="79"/>
      <c r="L313" s="79"/>
      <c r="M313" s="79"/>
    </row>
    <row r="314" spans="1:13" x14ac:dyDescent="0.15">
      <c r="A314" s="79"/>
      <c r="B314" s="79"/>
      <c r="K314" s="79"/>
      <c r="L314" s="79"/>
      <c r="M314" s="79"/>
    </row>
    <row r="315" spans="1:13" x14ac:dyDescent="0.15">
      <c r="A315" s="79"/>
      <c r="B315" s="79"/>
      <c r="K315" s="79"/>
      <c r="L315" s="79"/>
      <c r="M315" s="79"/>
    </row>
    <row r="316" spans="1:13" x14ac:dyDescent="0.15">
      <c r="A316" s="79"/>
      <c r="B316" s="79"/>
      <c r="K316" s="79"/>
      <c r="L316" s="79"/>
      <c r="M316" s="79"/>
    </row>
    <row r="317" spans="1:13" x14ac:dyDescent="0.15">
      <c r="A317" s="79"/>
      <c r="B317" s="79"/>
      <c r="K317" s="79"/>
      <c r="L317" s="79"/>
      <c r="M317" s="79"/>
    </row>
    <row r="318" spans="1:13" x14ac:dyDescent="0.15">
      <c r="A318" s="79"/>
      <c r="B318" s="79"/>
      <c r="K318" s="79"/>
      <c r="L318" s="79"/>
      <c r="M318" s="79"/>
    </row>
    <row r="319" spans="1:13" x14ac:dyDescent="0.15">
      <c r="A319" s="79"/>
      <c r="B319" s="79"/>
      <c r="K319" s="79"/>
      <c r="L319" s="79"/>
      <c r="M319" s="79"/>
    </row>
    <row r="320" spans="1:13" x14ac:dyDescent="0.15">
      <c r="A320" s="79"/>
      <c r="B320" s="79"/>
      <c r="K320" s="79"/>
      <c r="L320" s="79"/>
      <c r="M320" s="79"/>
    </row>
    <row r="321" spans="1:13" x14ac:dyDescent="0.15">
      <c r="A321" s="79"/>
      <c r="B321" s="79"/>
      <c r="K321" s="79"/>
      <c r="L321" s="79"/>
      <c r="M321" s="79"/>
    </row>
    <row r="322" spans="1:13" x14ac:dyDescent="0.15">
      <c r="A322" s="79"/>
      <c r="B322" s="79"/>
      <c r="K322" s="79"/>
      <c r="L322" s="79"/>
      <c r="M322" s="79"/>
    </row>
    <row r="323" spans="1:13" x14ac:dyDescent="0.15">
      <c r="A323" s="79"/>
      <c r="B323" s="79"/>
      <c r="K323" s="79"/>
      <c r="L323" s="79"/>
      <c r="M323" s="79"/>
    </row>
    <row r="324" spans="1:13" x14ac:dyDescent="0.15">
      <c r="A324" s="79"/>
      <c r="B324" s="79"/>
      <c r="K324" s="79"/>
      <c r="L324" s="79"/>
      <c r="M324" s="79"/>
    </row>
    <row r="325" spans="1:13" x14ac:dyDescent="0.15">
      <c r="A325" s="79"/>
      <c r="B325" s="79"/>
      <c r="K325" s="79"/>
      <c r="L325" s="79"/>
      <c r="M325" s="79"/>
    </row>
    <row r="326" spans="1:13" x14ac:dyDescent="0.15">
      <c r="A326" s="79"/>
      <c r="B326" s="79"/>
      <c r="K326" s="79"/>
      <c r="L326" s="79"/>
      <c r="M326" s="79"/>
    </row>
    <row r="327" spans="1:13" x14ac:dyDescent="0.15">
      <c r="A327" s="79"/>
      <c r="B327" s="79"/>
      <c r="K327" s="79"/>
      <c r="L327" s="79"/>
      <c r="M327" s="79"/>
    </row>
    <row r="328" spans="1:13" x14ac:dyDescent="0.15">
      <c r="A328" s="79"/>
      <c r="B328" s="79"/>
      <c r="K328" s="79"/>
      <c r="L328" s="79"/>
      <c r="M328" s="79"/>
    </row>
    <row r="329" spans="1:13" x14ac:dyDescent="0.15">
      <c r="A329" s="79"/>
      <c r="B329" s="79"/>
      <c r="K329" s="79"/>
      <c r="L329" s="79"/>
      <c r="M329" s="79"/>
    </row>
    <row r="330" spans="1:13" x14ac:dyDescent="0.15">
      <c r="A330" s="79"/>
      <c r="B330" s="79"/>
      <c r="K330" s="79"/>
      <c r="L330" s="79"/>
      <c r="M330" s="79"/>
    </row>
    <row r="331" spans="1:13" x14ac:dyDescent="0.15">
      <c r="A331" s="79"/>
      <c r="B331" s="79"/>
      <c r="K331" s="79"/>
      <c r="L331" s="79"/>
      <c r="M331" s="79"/>
    </row>
    <row r="332" spans="1:13" x14ac:dyDescent="0.15">
      <c r="A332" s="79"/>
      <c r="B332" s="79"/>
      <c r="K332" s="79"/>
      <c r="L332" s="79"/>
      <c r="M332" s="79"/>
    </row>
    <row r="333" spans="1:13" x14ac:dyDescent="0.15">
      <c r="A333" s="79"/>
      <c r="B333" s="79"/>
      <c r="K333" s="79"/>
      <c r="L333" s="79"/>
      <c r="M333" s="79"/>
    </row>
    <row r="334" spans="1:13" x14ac:dyDescent="0.15">
      <c r="A334" s="79"/>
      <c r="B334" s="79"/>
      <c r="K334" s="79"/>
      <c r="L334" s="79"/>
      <c r="M334" s="79"/>
    </row>
    <row r="335" spans="1:13" x14ac:dyDescent="0.15">
      <c r="A335" s="79"/>
      <c r="B335" s="79"/>
      <c r="K335" s="79"/>
      <c r="L335" s="79"/>
      <c r="M335" s="79"/>
    </row>
    <row r="336" spans="1:13" x14ac:dyDescent="0.15">
      <c r="A336" s="79"/>
      <c r="B336" s="79"/>
      <c r="K336" s="79"/>
      <c r="L336" s="79"/>
      <c r="M336" s="79"/>
    </row>
    <row r="337" spans="1:13" x14ac:dyDescent="0.15">
      <c r="A337" s="79"/>
      <c r="B337" s="79"/>
      <c r="K337" s="79"/>
      <c r="L337" s="79"/>
      <c r="M337" s="79"/>
    </row>
    <row r="338" spans="1:13" x14ac:dyDescent="0.15">
      <c r="A338" s="79"/>
      <c r="B338" s="79"/>
      <c r="K338" s="79"/>
      <c r="L338" s="79"/>
      <c r="M338" s="79"/>
    </row>
    <row r="339" spans="1:13" x14ac:dyDescent="0.15">
      <c r="A339" s="79"/>
      <c r="B339" s="79"/>
      <c r="K339" s="79"/>
      <c r="L339" s="79"/>
      <c r="M339" s="79"/>
    </row>
    <row r="340" spans="1:13" x14ac:dyDescent="0.15">
      <c r="A340" s="79"/>
      <c r="B340" s="79"/>
      <c r="K340" s="79"/>
      <c r="L340" s="79"/>
      <c r="M340" s="79"/>
    </row>
    <row r="341" spans="1:13" x14ac:dyDescent="0.15">
      <c r="A341" s="79"/>
      <c r="B341" s="79"/>
      <c r="K341" s="79"/>
      <c r="L341" s="79"/>
      <c r="M341" s="79"/>
    </row>
    <row r="342" spans="1:13" x14ac:dyDescent="0.15">
      <c r="A342" s="79"/>
      <c r="B342" s="79"/>
      <c r="K342" s="79"/>
      <c r="L342" s="79"/>
      <c r="M342" s="79"/>
    </row>
    <row r="343" spans="1:13" x14ac:dyDescent="0.15">
      <c r="A343" s="79"/>
      <c r="B343" s="79"/>
      <c r="K343" s="79"/>
      <c r="L343" s="79"/>
      <c r="M343" s="79"/>
    </row>
    <row r="344" spans="1:13" x14ac:dyDescent="0.15">
      <c r="A344" s="79"/>
      <c r="B344" s="79"/>
      <c r="K344" s="79"/>
      <c r="L344" s="79"/>
      <c r="M344" s="79"/>
    </row>
    <row r="345" spans="1:13" x14ac:dyDescent="0.15">
      <c r="A345" s="79"/>
      <c r="B345" s="79"/>
      <c r="K345" s="79"/>
      <c r="L345" s="79"/>
      <c r="M345" s="79"/>
    </row>
    <row r="346" spans="1:13" x14ac:dyDescent="0.15">
      <c r="A346" s="79"/>
      <c r="B346" s="79"/>
      <c r="K346" s="79"/>
      <c r="L346" s="79"/>
      <c r="M346" s="79"/>
    </row>
    <row r="347" spans="1:13" x14ac:dyDescent="0.15">
      <c r="A347" s="79"/>
      <c r="B347" s="79"/>
      <c r="K347" s="79"/>
      <c r="L347" s="79"/>
      <c r="M347" s="79"/>
    </row>
    <row r="348" spans="1:13" x14ac:dyDescent="0.15">
      <c r="A348" s="79"/>
      <c r="B348" s="79"/>
      <c r="K348" s="79"/>
      <c r="L348" s="79"/>
      <c r="M348" s="79"/>
    </row>
    <row r="349" spans="1:13" x14ac:dyDescent="0.15">
      <c r="A349" s="79"/>
      <c r="B349" s="79"/>
      <c r="K349" s="79"/>
      <c r="L349" s="79"/>
      <c r="M349" s="79"/>
    </row>
    <row r="350" spans="1:13" x14ac:dyDescent="0.15">
      <c r="A350" s="79"/>
      <c r="B350" s="79"/>
      <c r="K350" s="79"/>
      <c r="L350" s="79"/>
      <c r="M350" s="79"/>
    </row>
    <row r="351" spans="1:13" x14ac:dyDescent="0.15">
      <c r="A351" s="79"/>
      <c r="B351" s="79"/>
      <c r="K351" s="79"/>
      <c r="L351" s="79"/>
      <c r="M351" s="79"/>
    </row>
    <row r="352" spans="1:13" x14ac:dyDescent="0.15">
      <c r="A352" s="79"/>
      <c r="B352" s="79"/>
      <c r="K352" s="79"/>
      <c r="L352" s="79"/>
      <c r="M352" s="79"/>
    </row>
    <row r="353" spans="1:13" x14ac:dyDescent="0.15">
      <c r="A353" s="79"/>
      <c r="B353" s="79"/>
      <c r="K353" s="79"/>
      <c r="L353" s="79"/>
      <c r="M353" s="79"/>
    </row>
    <row r="354" spans="1:13" x14ac:dyDescent="0.15">
      <c r="A354" s="79"/>
      <c r="B354" s="79"/>
      <c r="K354" s="79"/>
      <c r="L354" s="79"/>
      <c r="M354" s="79"/>
    </row>
    <row r="355" spans="1:13" x14ac:dyDescent="0.15">
      <c r="A355" s="79"/>
      <c r="B355" s="79"/>
      <c r="K355" s="79"/>
      <c r="L355" s="79"/>
      <c r="M355" s="79"/>
    </row>
    <row r="356" spans="1:13" x14ac:dyDescent="0.15">
      <c r="A356" s="79"/>
      <c r="B356" s="79"/>
      <c r="K356" s="79"/>
      <c r="L356" s="79"/>
      <c r="M356" s="79"/>
    </row>
    <row r="357" spans="1:13" x14ac:dyDescent="0.15">
      <c r="A357" s="79"/>
      <c r="B357" s="79"/>
      <c r="K357" s="79"/>
      <c r="L357" s="79"/>
      <c r="M357" s="79"/>
    </row>
    <row r="358" spans="1:13" x14ac:dyDescent="0.15">
      <c r="A358" s="79"/>
      <c r="B358" s="79"/>
      <c r="K358" s="79"/>
      <c r="L358" s="79"/>
      <c r="M358" s="79"/>
    </row>
    <row r="359" spans="1:13" x14ac:dyDescent="0.15">
      <c r="A359" s="79"/>
      <c r="B359" s="79"/>
      <c r="K359" s="79"/>
      <c r="L359" s="79"/>
      <c r="M359" s="79"/>
    </row>
    <row r="360" spans="1:13" x14ac:dyDescent="0.15">
      <c r="A360" s="79"/>
      <c r="B360" s="79"/>
      <c r="K360" s="79"/>
      <c r="L360" s="79"/>
      <c r="M360" s="79"/>
    </row>
    <row r="361" spans="1:13" x14ac:dyDescent="0.15">
      <c r="A361" s="79"/>
      <c r="B361" s="79"/>
      <c r="K361" s="79"/>
      <c r="L361" s="79"/>
      <c r="M361" s="79"/>
    </row>
    <row r="362" spans="1:13" x14ac:dyDescent="0.15">
      <c r="A362" s="79"/>
      <c r="B362" s="79"/>
      <c r="K362" s="79"/>
      <c r="L362" s="79"/>
      <c r="M362" s="79"/>
    </row>
    <row r="363" spans="1:13" x14ac:dyDescent="0.15">
      <c r="A363" s="79"/>
      <c r="B363" s="79"/>
      <c r="K363" s="79"/>
      <c r="L363" s="79"/>
      <c r="M363" s="79"/>
    </row>
    <row r="364" spans="1:13" x14ac:dyDescent="0.15">
      <c r="A364" s="79"/>
      <c r="B364" s="79"/>
      <c r="K364" s="79"/>
      <c r="L364" s="79"/>
      <c r="M364" s="79"/>
    </row>
    <row r="365" spans="1:13" x14ac:dyDescent="0.15">
      <c r="A365" s="79"/>
      <c r="B365" s="79"/>
      <c r="K365" s="79"/>
      <c r="L365" s="79"/>
      <c r="M365" s="79"/>
    </row>
    <row r="366" spans="1:13" x14ac:dyDescent="0.15">
      <c r="A366" s="79"/>
      <c r="B366" s="79"/>
      <c r="K366" s="79"/>
      <c r="L366" s="79"/>
      <c r="M366" s="79"/>
    </row>
    <row r="367" spans="1:13" x14ac:dyDescent="0.15">
      <c r="A367" s="79"/>
      <c r="B367" s="79"/>
      <c r="K367" s="79"/>
      <c r="L367" s="79"/>
      <c r="M367" s="79"/>
    </row>
    <row r="368" spans="1:13" x14ac:dyDescent="0.15">
      <c r="A368" s="79"/>
      <c r="B368" s="79"/>
      <c r="K368" s="79"/>
      <c r="L368" s="79"/>
      <c r="M368" s="79"/>
    </row>
    <row r="369" spans="1:13" x14ac:dyDescent="0.15">
      <c r="A369" s="79"/>
      <c r="B369" s="79"/>
      <c r="K369" s="79"/>
      <c r="L369" s="79"/>
      <c r="M369" s="79"/>
    </row>
    <row r="370" spans="1:13" x14ac:dyDescent="0.15">
      <c r="A370" s="79"/>
      <c r="B370" s="79"/>
      <c r="K370" s="79"/>
      <c r="L370" s="79"/>
      <c r="M370" s="79"/>
    </row>
    <row r="371" spans="1:13" x14ac:dyDescent="0.15">
      <c r="A371" s="79"/>
      <c r="B371" s="79"/>
      <c r="K371" s="79"/>
      <c r="L371" s="79"/>
      <c r="M371" s="79"/>
    </row>
    <row r="372" spans="1:13" x14ac:dyDescent="0.15">
      <c r="A372" s="79"/>
      <c r="B372" s="79"/>
      <c r="K372" s="79"/>
      <c r="L372" s="79"/>
      <c r="M372" s="79"/>
    </row>
    <row r="373" spans="1:13" x14ac:dyDescent="0.15">
      <c r="A373" s="79"/>
      <c r="B373" s="79"/>
      <c r="K373" s="79"/>
      <c r="L373" s="79"/>
      <c r="M373" s="79"/>
    </row>
    <row r="374" spans="1:13" x14ac:dyDescent="0.15">
      <c r="A374" s="79"/>
      <c r="B374" s="79"/>
      <c r="K374" s="79"/>
      <c r="L374" s="79"/>
      <c r="M374" s="79"/>
    </row>
    <row r="375" spans="1:13" x14ac:dyDescent="0.15">
      <c r="A375" s="79"/>
      <c r="B375" s="79"/>
      <c r="K375" s="79"/>
      <c r="L375" s="79"/>
      <c r="M375" s="79"/>
    </row>
    <row r="376" spans="1:13" x14ac:dyDescent="0.15">
      <c r="A376" s="79"/>
      <c r="B376" s="79"/>
      <c r="K376" s="79"/>
      <c r="L376" s="79"/>
      <c r="M376" s="79"/>
    </row>
    <row r="377" spans="1:13" x14ac:dyDescent="0.15">
      <c r="A377" s="79"/>
      <c r="B377" s="79"/>
      <c r="K377" s="79"/>
      <c r="L377" s="79"/>
      <c r="M377" s="79"/>
    </row>
    <row r="378" spans="1:13" x14ac:dyDescent="0.15">
      <c r="A378" s="79"/>
      <c r="B378" s="79"/>
      <c r="K378" s="79"/>
      <c r="L378" s="79"/>
      <c r="M378" s="79"/>
    </row>
    <row r="379" spans="1:13" x14ac:dyDescent="0.15">
      <c r="A379" s="79"/>
      <c r="B379" s="79"/>
      <c r="K379" s="79"/>
      <c r="L379" s="79"/>
      <c r="M379" s="79"/>
    </row>
    <row r="380" spans="1:13" x14ac:dyDescent="0.15">
      <c r="A380" s="79"/>
      <c r="B380" s="79"/>
      <c r="K380" s="79"/>
      <c r="L380" s="79"/>
      <c r="M380" s="79"/>
    </row>
    <row r="381" spans="1:13" x14ac:dyDescent="0.15">
      <c r="A381" s="79"/>
      <c r="B381" s="79"/>
      <c r="K381" s="79"/>
      <c r="L381" s="79"/>
      <c r="M381" s="79"/>
    </row>
    <row r="382" spans="1:13" x14ac:dyDescent="0.15">
      <c r="A382" s="79"/>
      <c r="B382" s="79"/>
      <c r="K382" s="79"/>
      <c r="L382" s="79"/>
      <c r="M382" s="79"/>
    </row>
    <row r="383" spans="1:13" x14ac:dyDescent="0.15">
      <c r="A383" s="79"/>
      <c r="B383" s="79"/>
      <c r="K383" s="79"/>
      <c r="L383" s="79"/>
      <c r="M383" s="79"/>
    </row>
    <row r="384" spans="1:13" x14ac:dyDescent="0.15">
      <c r="A384" s="79"/>
      <c r="B384" s="79"/>
      <c r="K384" s="79"/>
      <c r="L384" s="79"/>
      <c r="M384" s="79"/>
    </row>
    <row r="385" spans="1:13" x14ac:dyDescent="0.15">
      <c r="A385" s="79"/>
      <c r="B385" s="79"/>
      <c r="K385" s="79"/>
      <c r="L385" s="79"/>
      <c r="M385" s="79"/>
    </row>
    <row r="386" spans="1:13" x14ac:dyDescent="0.15">
      <c r="A386" s="79"/>
      <c r="B386" s="79"/>
      <c r="K386" s="79"/>
      <c r="L386" s="79"/>
      <c r="M386" s="79"/>
    </row>
    <row r="387" spans="1:13" x14ac:dyDescent="0.15">
      <c r="A387" s="79"/>
      <c r="B387" s="79"/>
      <c r="K387" s="79"/>
      <c r="L387" s="79"/>
      <c r="M387" s="79"/>
    </row>
    <row r="388" spans="1:13" x14ac:dyDescent="0.15">
      <c r="A388" s="79"/>
      <c r="B388" s="79"/>
      <c r="K388" s="79"/>
      <c r="L388" s="79"/>
      <c r="M388" s="79"/>
    </row>
    <row r="389" spans="1:13" x14ac:dyDescent="0.15">
      <c r="A389" s="79"/>
      <c r="B389" s="79"/>
      <c r="K389" s="79"/>
      <c r="L389" s="79"/>
      <c r="M389" s="79"/>
    </row>
    <row r="390" spans="1:13" x14ac:dyDescent="0.15">
      <c r="A390" s="79"/>
      <c r="B390" s="79"/>
      <c r="K390" s="79"/>
      <c r="L390" s="79"/>
      <c r="M390" s="79"/>
    </row>
    <row r="391" spans="1:13" x14ac:dyDescent="0.15">
      <c r="A391" s="79"/>
      <c r="B391" s="79"/>
      <c r="K391" s="79"/>
      <c r="L391" s="79"/>
      <c r="M391" s="79"/>
    </row>
    <row r="392" spans="1:13" x14ac:dyDescent="0.15">
      <c r="A392" s="79"/>
      <c r="B392" s="79"/>
      <c r="K392" s="79"/>
      <c r="L392" s="79"/>
      <c r="M392" s="79"/>
    </row>
    <row r="393" spans="1:13" x14ac:dyDescent="0.15">
      <c r="A393" s="79"/>
      <c r="B393" s="79"/>
      <c r="K393" s="79"/>
      <c r="L393" s="79"/>
      <c r="M393" s="79"/>
    </row>
    <row r="394" spans="1:13" x14ac:dyDescent="0.15">
      <c r="A394" s="79"/>
      <c r="B394" s="79"/>
      <c r="K394" s="79"/>
      <c r="L394" s="79"/>
      <c r="M394" s="79"/>
    </row>
    <row r="395" spans="1:13" x14ac:dyDescent="0.15">
      <c r="A395" s="79"/>
      <c r="B395" s="79"/>
      <c r="K395" s="79"/>
      <c r="L395" s="79"/>
      <c r="M395" s="79"/>
    </row>
    <row r="396" spans="1:13" x14ac:dyDescent="0.15">
      <c r="A396" s="79"/>
      <c r="B396" s="79"/>
      <c r="K396" s="79"/>
      <c r="L396" s="79"/>
      <c r="M396" s="79"/>
    </row>
    <row r="397" spans="1:13" x14ac:dyDescent="0.15">
      <c r="A397" s="79"/>
      <c r="B397" s="79"/>
      <c r="K397" s="79"/>
      <c r="L397" s="79"/>
      <c r="M397" s="79"/>
    </row>
    <row r="398" spans="1:13" x14ac:dyDescent="0.15">
      <c r="A398" s="79"/>
      <c r="B398" s="79"/>
      <c r="K398" s="79"/>
      <c r="L398" s="79"/>
      <c r="M398" s="79"/>
    </row>
    <row r="399" spans="1:13" x14ac:dyDescent="0.15">
      <c r="A399" s="79"/>
      <c r="B399" s="79"/>
      <c r="K399" s="79"/>
      <c r="L399" s="79"/>
      <c r="M399" s="79"/>
    </row>
    <row r="400" spans="1:13" x14ac:dyDescent="0.15">
      <c r="A400" s="79"/>
      <c r="B400" s="79"/>
      <c r="K400" s="79"/>
      <c r="L400" s="79"/>
      <c r="M400" s="79"/>
    </row>
    <row r="401" spans="1:13" x14ac:dyDescent="0.15">
      <c r="A401" s="79"/>
      <c r="B401" s="79"/>
      <c r="K401" s="79"/>
      <c r="L401" s="79"/>
      <c r="M401" s="79"/>
    </row>
    <row r="402" spans="1:13" x14ac:dyDescent="0.15">
      <c r="A402" s="79"/>
      <c r="B402" s="79"/>
      <c r="K402" s="79"/>
      <c r="L402" s="79"/>
      <c r="M402" s="79"/>
    </row>
    <row r="403" spans="1:13" x14ac:dyDescent="0.15">
      <c r="A403" s="79"/>
      <c r="B403" s="79"/>
      <c r="K403" s="79"/>
      <c r="L403" s="79"/>
      <c r="M403" s="79"/>
    </row>
    <row r="404" spans="1:13" x14ac:dyDescent="0.15">
      <c r="A404" s="79"/>
      <c r="B404" s="79"/>
      <c r="K404" s="79"/>
      <c r="L404" s="79"/>
      <c r="M404" s="79"/>
    </row>
    <row r="405" spans="1:13" x14ac:dyDescent="0.15">
      <c r="A405" s="79"/>
      <c r="B405" s="79"/>
      <c r="K405" s="79"/>
      <c r="L405" s="79"/>
      <c r="M405" s="79"/>
    </row>
    <row r="406" spans="1:13" x14ac:dyDescent="0.15">
      <c r="A406" s="79"/>
      <c r="B406" s="79"/>
      <c r="K406" s="79"/>
      <c r="L406" s="79"/>
      <c r="M406" s="79"/>
    </row>
    <row r="407" spans="1:13" x14ac:dyDescent="0.15">
      <c r="A407" s="79"/>
      <c r="B407" s="79"/>
      <c r="K407" s="79"/>
      <c r="L407" s="79"/>
      <c r="M407" s="79"/>
    </row>
    <row r="408" spans="1:13" x14ac:dyDescent="0.15">
      <c r="A408" s="79"/>
      <c r="B408" s="79"/>
      <c r="K408" s="79"/>
      <c r="L408" s="79"/>
      <c r="M408" s="79"/>
    </row>
    <row r="409" spans="1:13" x14ac:dyDescent="0.15">
      <c r="A409" s="79"/>
      <c r="B409" s="79"/>
      <c r="K409" s="79"/>
      <c r="L409" s="79"/>
      <c r="M409" s="79"/>
    </row>
    <row r="410" spans="1:13" x14ac:dyDescent="0.15">
      <c r="A410" s="79"/>
      <c r="B410" s="79"/>
      <c r="K410" s="79"/>
      <c r="L410" s="79"/>
      <c r="M410" s="79"/>
    </row>
    <row r="411" spans="1:13" x14ac:dyDescent="0.15">
      <c r="A411" s="79"/>
      <c r="B411" s="79"/>
      <c r="K411" s="79"/>
      <c r="L411" s="79"/>
      <c r="M411" s="79"/>
    </row>
    <row r="412" spans="1:13" x14ac:dyDescent="0.15">
      <c r="A412" s="79"/>
      <c r="B412" s="79"/>
      <c r="K412" s="79"/>
      <c r="L412" s="79"/>
      <c r="M412" s="79"/>
    </row>
    <row r="413" spans="1:13" x14ac:dyDescent="0.15">
      <c r="A413" s="79"/>
      <c r="B413" s="79"/>
      <c r="K413" s="79"/>
      <c r="L413" s="79"/>
      <c r="M413" s="79"/>
    </row>
    <row r="414" spans="1:13" x14ac:dyDescent="0.15">
      <c r="A414" s="79"/>
      <c r="B414" s="79"/>
      <c r="K414" s="79"/>
      <c r="L414" s="79"/>
      <c r="M414" s="79"/>
    </row>
    <row r="415" spans="1:13" x14ac:dyDescent="0.15">
      <c r="A415" s="79"/>
      <c r="B415" s="79"/>
      <c r="K415" s="79"/>
      <c r="L415" s="79"/>
      <c r="M415" s="79"/>
    </row>
    <row r="416" spans="1:13" x14ac:dyDescent="0.15">
      <c r="A416" s="79"/>
      <c r="B416" s="79"/>
      <c r="K416" s="79"/>
      <c r="L416" s="79"/>
      <c r="M416" s="79"/>
    </row>
    <row r="417" spans="1:13" x14ac:dyDescent="0.15">
      <c r="A417" s="79"/>
      <c r="B417" s="79"/>
      <c r="K417" s="79"/>
      <c r="L417" s="79"/>
      <c r="M417" s="79"/>
    </row>
    <row r="418" spans="1:13" x14ac:dyDescent="0.15">
      <c r="A418" s="79"/>
      <c r="B418" s="79"/>
      <c r="K418" s="79"/>
      <c r="L418" s="79"/>
      <c r="M418" s="79"/>
    </row>
    <row r="419" spans="1:13" x14ac:dyDescent="0.15">
      <c r="A419" s="79"/>
      <c r="B419" s="79"/>
      <c r="K419" s="79"/>
      <c r="L419" s="79"/>
      <c r="M419" s="79"/>
    </row>
    <row r="420" spans="1:13" x14ac:dyDescent="0.15">
      <c r="A420" s="79"/>
      <c r="B420" s="79"/>
      <c r="K420" s="79"/>
      <c r="L420" s="79"/>
      <c r="M420" s="79"/>
    </row>
    <row r="421" spans="1:13" x14ac:dyDescent="0.15">
      <c r="A421" s="79"/>
      <c r="B421" s="79"/>
      <c r="K421" s="79"/>
      <c r="L421" s="79"/>
      <c r="M421" s="79"/>
    </row>
    <row r="422" spans="1:13" x14ac:dyDescent="0.15">
      <c r="A422" s="79"/>
      <c r="B422" s="79"/>
      <c r="K422" s="79"/>
      <c r="L422" s="79"/>
      <c r="M422" s="79"/>
    </row>
    <row r="423" spans="1:13" x14ac:dyDescent="0.15">
      <c r="A423" s="79"/>
      <c r="B423" s="79"/>
      <c r="K423" s="79"/>
      <c r="L423" s="79"/>
      <c r="M423" s="79"/>
    </row>
    <row r="424" spans="1:13" x14ac:dyDescent="0.15">
      <c r="A424" s="79"/>
      <c r="B424" s="79"/>
      <c r="K424" s="79"/>
      <c r="L424" s="79"/>
      <c r="M424" s="79"/>
    </row>
    <row r="425" spans="1:13" x14ac:dyDescent="0.15">
      <c r="A425" s="79"/>
      <c r="B425" s="79"/>
      <c r="K425" s="79"/>
      <c r="L425" s="79"/>
      <c r="M425" s="79"/>
    </row>
    <row r="426" spans="1:13" x14ac:dyDescent="0.15">
      <c r="A426" s="79"/>
      <c r="B426" s="79"/>
      <c r="K426" s="79"/>
      <c r="L426" s="79"/>
      <c r="M426" s="79"/>
    </row>
    <row r="427" spans="1:13" x14ac:dyDescent="0.15">
      <c r="A427" s="79"/>
      <c r="B427" s="79"/>
      <c r="K427" s="79"/>
      <c r="L427" s="79"/>
      <c r="M427" s="79"/>
    </row>
    <row r="428" spans="1:13" x14ac:dyDescent="0.15">
      <c r="A428" s="79"/>
      <c r="B428" s="79"/>
      <c r="K428" s="79"/>
      <c r="L428" s="79"/>
      <c r="M428" s="79"/>
    </row>
    <row r="429" spans="1:13" x14ac:dyDescent="0.15">
      <c r="A429" s="79"/>
      <c r="B429" s="79"/>
      <c r="K429" s="79"/>
      <c r="L429" s="79"/>
      <c r="M429" s="79"/>
    </row>
    <row r="430" spans="1:13" x14ac:dyDescent="0.15">
      <c r="A430" s="79"/>
      <c r="B430" s="79"/>
      <c r="K430" s="79"/>
      <c r="L430" s="79"/>
      <c r="M430" s="79"/>
    </row>
    <row r="431" spans="1:13" x14ac:dyDescent="0.15">
      <c r="A431" s="79"/>
      <c r="B431" s="79"/>
      <c r="K431" s="79"/>
      <c r="L431" s="79"/>
      <c r="M431" s="79"/>
    </row>
    <row r="432" spans="1:13" x14ac:dyDescent="0.15">
      <c r="A432" s="79"/>
      <c r="B432" s="79"/>
      <c r="K432" s="79"/>
      <c r="L432" s="79"/>
      <c r="M432" s="79"/>
    </row>
    <row r="433" spans="1:13" x14ac:dyDescent="0.15">
      <c r="A433" s="79"/>
      <c r="B433" s="79"/>
      <c r="K433" s="79"/>
      <c r="L433" s="79"/>
      <c r="M433" s="79"/>
    </row>
    <row r="434" spans="1:13" x14ac:dyDescent="0.15">
      <c r="A434" s="79"/>
      <c r="B434" s="79"/>
      <c r="K434" s="79"/>
      <c r="L434" s="79"/>
      <c r="M434" s="79"/>
    </row>
    <row r="435" spans="1:13" x14ac:dyDescent="0.15">
      <c r="A435" s="79"/>
      <c r="B435" s="79"/>
      <c r="K435" s="79"/>
      <c r="L435" s="79"/>
      <c r="M435" s="79"/>
    </row>
    <row r="436" spans="1:13" x14ac:dyDescent="0.15">
      <c r="A436" s="79"/>
      <c r="B436" s="79"/>
      <c r="K436" s="79"/>
      <c r="L436" s="79"/>
      <c r="M436" s="79"/>
    </row>
    <row r="437" spans="1:13" x14ac:dyDescent="0.15">
      <c r="A437" s="79"/>
      <c r="B437" s="79"/>
      <c r="K437" s="79"/>
      <c r="L437" s="79"/>
      <c r="M437" s="79"/>
    </row>
    <row r="438" spans="1:13" x14ac:dyDescent="0.15">
      <c r="A438" s="79"/>
      <c r="B438" s="79"/>
      <c r="K438" s="79"/>
      <c r="L438" s="79"/>
      <c r="M438" s="79"/>
    </row>
    <row r="439" spans="1:13" x14ac:dyDescent="0.15">
      <c r="A439" s="79"/>
      <c r="B439" s="79"/>
      <c r="K439" s="79"/>
      <c r="L439" s="79"/>
      <c r="M439" s="79"/>
    </row>
    <row r="440" spans="1:13" x14ac:dyDescent="0.15">
      <c r="A440" s="79"/>
      <c r="B440" s="79"/>
      <c r="K440" s="79"/>
      <c r="L440" s="79"/>
      <c r="M440" s="79"/>
    </row>
    <row r="441" spans="1:13" x14ac:dyDescent="0.15">
      <c r="A441" s="79"/>
      <c r="B441" s="79"/>
      <c r="K441" s="79"/>
      <c r="L441" s="79"/>
      <c r="M441" s="79"/>
    </row>
    <row r="442" spans="1:13" x14ac:dyDescent="0.15">
      <c r="A442" s="79"/>
      <c r="B442" s="79"/>
      <c r="K442" s="79"/>
      <c r="L442" s="79"/>
      <c r="M442" s="79"/>
    </row>
    <row r="443" spans="1:13" x14ac:dyDescent="0.15">
      <c r="A443" s="79"/>
      <c r="B443" s="79"/>
      <c r="K443" s="79"/>
      <c r="L443" s="79"/>
      <c r="M443" s="79"/>
    </row>
    <row r="444" spans="1:13" x14ac:dyDescent="0.15">
      <c r="A444" s="79"/>
      <c r="B444" s="79"/>
      <c r="K444" s="79"/>
      <c r="L444" s="79"/>
      <c r="M444" s="79"/>
    </row>
    <row r="445" spans="1:13" x14ac:dyDescent="0.15">
      <c r="A445" s="79"/>
      <c r="B445" s="79"/>
      <c r="K445" s="79"/>
      <c r="L445" s="79"/>
      <c r="M445" s="79"/>
    </row>
    <row r="446" spans="1:13" x14ac:dyDescent="0.15">
      <c r="A446" s="79"/>
      <c r="B446" s="79"/>
      <c r="K446" s="79"/>
      <c r="L446" s="79"/>
      <c r="M446" s="79"/>
    </row>
    <row r="447" spans="1:13" x14ac:dyDescent="0.15">
      <c r="A447" s="79"/>
      <c r="B447" s="79"/>
      <c r="K447" s="79"/>
      <c r="L447" s="79"/>
      <c r="M447" s="79"/>
    </row>
    <row r="448" spans="1:13" x14ac:dyDescent="0.15">
      <c r="A448" s="79"/>
      <c r="B448" s="79"/>
      <c r="K448" s="79"/>
      <c r="L448" s="79"/>
      <c r="M448" s="79"/>
    </row>
    <row r="449" spans="1:13" x14ac:dyDescent="0.15">
      <c r="A449" s="79"/>
      <c r="B449" s="79"/>
      <c r="K449" s="79"/>
      <c r="L449" s="79"/>
      <c r="M449" s="79"/>
    </row>
    <row r="450" spans="1:13" x14ac:dyDescent="0.15">
      <c r="A450" s="79"/>
      <c r="B450" s="79"/>
      <c r="K450" s="79"/>
      <c r="L450" s="79"/>
      <c r="M450" s="79"/>
    </row>
    <row r="451" spans="1:13" x14ac:dyDescent="0.15">
      <c r="A451" s="79"/>
      <c r="B451" s="79"/>
      <c r="K451" s="79"/>
      <c r="L451" s="79"/>
      <c r="M451" s="79"/>
    </row>
    <row r="452" spans="1:13" x14ac:dyDescent="0.15">
      <c r="A452" s="79"/>
      <c r="B452" s="79"/>
      <c r="K452" s="79"/>
      <c r="L452" s="79"/>
      <c r="M452" s="79"/>
    </row>
    <row r="453" spans="1:13" x14ac:dyDescent="0.15">
      <c r="A453" s="79"/>
      <c r="B453" s="79"/>
      <c r="K453" s="79"/>
      <c r="L453" s="79"/>
      <c r="M453" s="79"/>
    </row>
    <row r="454" spans="1:13" x14ac:dyDescent="0.15">
      <c r="A454" s="79"/>
      <c r="B454" s="79"/>
      <c r="K454" s="79"/>
      <c r="L454" s="79"/>
      <c r="M454" s="79"/>
    </row>
    <row r="455" spans="1:13" x14ac:dyDescent="0.15">
      <c r="A455" s="79"/>
      <c r="B455" s="79"/>
      <c r="K455" s="79"/>
      <c r="L455" s="79"/>
      <c r="M455" s="79"/>
    </row>
    <row r="456" spans="1:13" x14ac:dyDescent="0.15">
      <c r="A456" s="79"/>
      <c r="B456" s="79"/>
      <c r="K456" s="79"/>
      <c r="L456" s="79"/>
      <c r="M456" s="79"/>
    </row>
    <row r="457" spans="1:13" x14ac:dyDescent="0.15">
      <c r="A457" s="79"/>
      <c r="B457" s="79"/>
      <c r="K457" s="79"/>
      <c r="L457" s="79"/>
      <c r="M457" s="79"/>
    </row>
    <row r="458" spans="1:13" x14ac:dyDescent="0.15">
      <c r="A458" s="79"/>
      <c r="B458" s="79"/>
      <c r="K458" s="79"/>
      <c r="L458" s="79"/>
      <c r="M458" s="79"/>
    </row>
    <row r="459" spans="1:13" x14ac:dyDescent="0.15">
      <c r="A459" s="79"/>
      <c r="B459" s="79"/>
      <c r="K459" s="79"/>
      <c r="L459" s="79"/>
      <c r="M459" s="79"/>
    </row>
    <row r="460" spans="1:13" x14ac:dyDescent="0.15">
      <c r="A460" s="79"/>
      <c r="B460" s="79"/>
      <c r="K460" s="79"/>
      <c r="L460" s="79"/>
      <c r="M460" s="79"/>
    </row>
    <row r="461" spans="1:13" x14ac:dyDescent="0.15">
      <c r="A461" s="79"/>
      <c r="B461" s="79"/>
      <c r="K461" s="79"/>
      <c r="L461" s="79"/>
      <c r="M461" s="79"/>
    </row>
    <row r="462" spans="1:13" x14ac:dyDescent="0.15">
      <c r="A462" s="79"/>
      <c r="B462" s="79"/>
      <c r="K462" s="79"/>
      <c r="L462" s="79"/>
      <c r="M462" s="79"/>
    </row>
    <row r="463" spans="1:13" x14ac:dyDescent="0.15">
      <c r="A463" s="79"/>
      <c r="B463" s="79"/>
      <c r="K463" s="79"/>
      <c r="L463" s="79"/>
      <c r="M463" s="79"/>
    </row>
    <row r="464" spans="1:13" x14ac:dyDescent="0.15">
      <c r="A464" s="79"/>
      <c r="B464" s="79"/>
      <c r="K464" s="79"/>
      <c r="L464" s="79"/>
      <c r="M464" s="79"/>
    </row>
    <row r="465" spans="1:13" x14ac:dyDescent="0.15">
      <c r="A465" s="79"/>
      <c r="B465" s="79"/>
      <c r="K465" s="79"/>
      <c r="L465" s="79"/>
      <c r="M465" s="79"/>
    </row>
    <row r="466" spans="1:13" x14ac:dyDescent="0.15">
      <c r="A466" s="79"/>
      <c r="B466" s="79"/>
      <c r="K466" s="79"/>
      <c r="L466" s="79"/>
      <c r="M466" s="79"/>
    </row>
    <row r="467" spans="1:13" x14ac:dyDescent="0.15">
      <c r="A467" s="79"/>
      <c r="B467" s="79"/>
      <c r="K467" s="79"/>
      <c r="L467" s="79"/>
      <c r="M467" s="79"/>
    </row>
    <row r="468" spans="1:13" x14ac:dyDescent="0.15">
      <c r="A468" s="79"/>
      <c r="B468" s="79"/>
      <c r="K468" s="79"/>
      <c r="L468" s="79"/>
      <c r="M468" s="79"/>
    </row>
    <row r="469" spans="1:13" x14ac:dyDescent="0.15">
      <c r="A469" s="79"/>
      <c r="B469" s="79"/>
      <c r="K469" s="79"/>
      <c r="L469" s="79"/>
      <c r="M469" s="79"/>
    </row>
    <row r="470" spans="1:13" x14ac:dyDescent="0.15">
      <c r="A470" s="79"/>
      <c r="B470" s="79"/>
      <c r="K470" s="79"/>
      <c r="L470" s="79"/>
      <c r="M470" s="79"/>
    </row>
    <row r="471" spans="1:13" x14ac:dyDescent="0.15">
      <c r="A471" s="79"/>
      <c r="B471" s="79"/>
      <c r="K471" s="79"/>
      <c r="L471" s="79"/>
      <c r="M471" s="79"/>
    </row>
    <row r="472" spans="1:13" x14ac:dyDescent="0.15">
      <c r="A472" s="79"/>
      <c r="B472" s="79"/>
      <c r="K472" s="79"/>
      <c r="L472" s="79"/>
      <c r="M472" s="79"/>
    </row>
    <row r="473" spans="1:13" x14ac:dyDescent="0.15">
      <c r="A473" s="79"/>
      <c r="B473" s="79"/>
      <c r="K473" s="79"/>
      <c r="L473" s="79"/>
      <c r="M473" s="79"/>
    </row>
    <row r="474" spans="1:13" x14ac:dyDescent="0.15">
      <c r="A474" s="79"/>
      <c r="B474" s="79"/>
      <c r="K474" s="79"/>
      <c r="L474" s="79"/>
      <c r="M474" s="79"/>
    </row>
    <row r="475" spans="1:13" x14ac:dyDescent="0.15">
      <c r="A475" s="79"/>
      <c r="B475" s="79"/>
      <c r="K475" s="79"/>
      <c r="L475" s="79"/>
      <c r="M475" s="79"/>
    </row>
    <row r="476" spans="1:13" x14ac:dyDescent="0.15">
      <c r="A476" s="79"/>
      <c r="B476" s="79"/>
      <c r="K476" s="79"/>
      <c r="L476" s="79"/>
      <c r="M476" s="79"/>
    </row>
    <row r="477" spans="1:13" x14ac:dyDescent="0.15">
      <c r="A477" s="79"/>
      <c r="B477" s="79"/>
      <c r="K477" s="79"/>
      <c r="L477" s="79"/>
      <c r="M477" s="79"/>
    </row>
    <row r="478" spans="1:13" x14ac:dyDescent="0.15">
      <c r="A478" s="79"/>
      <c r="B478" s="79"/>
      <c r="K478" s="79"/>
      <c r="L478" s="79"/>
      <c r="M478" s="79"/>
    </row>
    <row r="479" spans="1:13" x14ac:dyDescent="0.15">
      <c r="A479" s="79"/>
      <c r="B479" s="79"/>
      <c r="K479" s="79"/>
      <c r="L479" s="79"/>
      <c r="M479" s="79"/>
    </row>
    <row r="480" spans="1:13" x14ac:dyDescent="0.15">
      <c r="A480" s="79"/>
      <c r="B480" s="79"/>
      <c r="K480" s="79"/>
      <c r="L480" s="79"/>
      <c r="M480" s="79"/>
    </row>
    <row r="481" spans="1:13" x14ac:dyDescent="0.15">
      <c r="A481" s="79"/>
      <c r="B481" s="79"/>
      <c r="K481" s="79"/>
      <c r="L481" s="79"/>
      <c r="M481" s="79"/>
    </row>
    <row r="482" spans="1:13" x14ac:dyDescent="0.15">
      <c r="A482" s="79"/>
      <c r="B482" s="79"/>
      <c r="K482" s="79"/>
      <c r="L482" s="79"/>
      <c r="M482" s="79"/>
    </row>
    <row r="483" spans="1:13" x14ac:dyDescent="0.15">
      <c r="A483" s="79"/>
      <c r="B483" s="79"/>
      <c r="K483" s="79"/>
      <c r="L483" s="79"/>
      <c r="M483" s="79"/>
    </row>
    <row r="484" spans="1:13" x14ac:dyDescent="0.15">
      <c r="A484" s="79"/>
      <c r="B484" s="79"/>
      <c r="K484" s="79"/>
      <c r="L484" s="79"/>
      <c r="M484" s="79"/>
    </row>
    <row r="485" spans="1:13" x14ac:dyDescent="0.15">
      <c r="A485" s="79"/>
      <c r="B485" s="79"/>
      <c r="K485" s="79"/>
      <c r="L485" s="79"/>
      <c r="M485" s="79"/>
    </row>
    <row r="486" spans="1:13" x14ac:dyDescent="0.15">
      <c r="A486" s="79"/>
      <c r="B486" s="79"/>
      <c r="K486" s="79"/>
      <c r="L486" s="79"/>
      <c r="M486" s="79"/>
    </row>
    <row r="487" spans="1:13" x14ac:dyDescent="0.15">
      <c r="A487" s="79"/>
      <c r="B487" s="79"/>
      <c r="K487" s="79"/>
      <c r="L487" s="79"/>
      <c r="M487" s="79"/>
    </row>
    <row r="488" spans="1:13" x14ac:dyDescent="0.15">
      <c r="A488" s="79"/>
      <c r="B488" s="79"/>
      <c r="K488" s="79"/>
      <c r="L488" s="79"/>
      <c r="M488" s="79"/>
    </row>
    <row r="489" spans="1:13" x14ac:dyDescent="0.15">
      <c r="A489" s="79"/>
      <c r="B489" s="79"/>
      <c r="K489" s="79"/>
      <c r="L489" s="79"/>
      <c r="M489" s="79"/>
    </row>
    <row r="490" spans="1:13" x14ac:dyDescent="0.15">
      <c r="A490" s="79"/>
      <c r="B490" s="79"/>
      <c r="K490" s="79"/>
      <c r="L490" s="79"/>
      <c r="M490" s="79"/>
    </row>
    <row r="491" spans="1:13" x14ac:dyDescent="0.15">
      <c r="A491" s="79"/>
      <c r="B491" s="79"/>
      <c r="K491" s="79"/>
      <c r="L491" s="79"/>
      <c r="M491" s="79"/>
    </row>
    <row r="492" spans="1:13" x14ac:dyDescent="0.15">
      <c r="A492" s="79"/>
      <c r="B492" s="79"/>
      <c r="K492" s="79"/>
      <c r="L492" s="79"/>
      <c r="M492" s="79"/>
    </row>
    <row r="493" spans="1:13" x14ac:dyDescent="0.15">
      <c r="A493" s="79"/>
      <c r="B493" s="79"/>
      <c r="K493" s="79"/>
      <c r="L493" s="79"/>
      <c r="M493" s="79"/>
    </row>
    <row r="494" spans="1:13" x14ac:dyDescent="0.15">
      <c r="A494" s="79"/>
      <c r="B494" s="79"/>
      <c r="K494" s="79"/>
      <c r="L494" s="79"/>
      <c r="M494" s="79"/>
    </row>
    <row r="495" spans="1:13" x14ac:dyDescent="0.15">
      <c r="A495" s="79"/>
      <c r="B495" s="79"/>
      <c r="K495" s="79"/>
      <c r="L495" s="79"/>
      <c r="M495" s="79"/>
    </row>
    <row r="496" spans="1:13" x14ac:dyDescent="0.15">
      <c r="A496" s="79"/>
      <c r="B496" s="79"/>
      <c r="K496" s="79"/>
      <c r="L496" s="79"/>
      <c r="M496" s="79"/>
    </row>
    <row r="497" spans="1:13" x14ac:dyDescent="0.15">
      <c r="A497" s="79"/>
      <c r="B497" s="79"/>
      <c r="K497" s="79"/>
      <c r="L497" s="79"/>
      <c r="M497" s="79"/>
    </row>
    <row r="498" spans="1:13" x14ac:dyDescent="0.15">
      <c r="A498" s="79"/>
      <c r="B498" s="79"/>
      <c r="K498" s="79"/>
      <c r="L498" s="79"/>
      <c r="M498" s="79"/>
    </row>
    <row r="499" spans="1:13" x14ac:dyDescent="0.15">
      <c r="A499" s="79"/>
      <c r="B499" s="79"/>
      <c r="K499" s="79"/>
      <c r="L499" s="79"/>
      <c r="M499" s="79"/>
    </row>
    <row r="500" spans="1:13" x14ac:dyDescent="0.15">
      <c r="A500" s="79"/>
      <c r="B500" s="79"/>
      <c r="K500" s="79"/>
      <c r="L500" s="79"/>
      <c r="M500" s="79"/>
    </row>
    <row r="501" spans="1:13" x14ac:dyDescent="0.15">
      <c r="A501" s="79"/>
      <c r="B501" s="79"/>
      <c r="K501" s="79"/>
      <c r="L501" s="79"/>
      <c r="M501" s="79"/>
    </row>
    <row r="502" spans="1:13" x14ac:dyDescent="0.15">
      <c r="A502" s="79"/>
      <c r="B502" s="79"/>
      <c r="K502" s="79"/>
      <c r="L502" s="79"/>
      <c r="M502" s="79"/>
    </row>
    <row r="503" spans="1:13" x14ac:dyDescent="0.15">
      <c r="A503" s="79"/>
      <c r="B503" s="79"/>
      <c r="K503" s="79"/>
      <c r="L503" s="79"/>
      <c r="M503" s="79"/>
    </row>
    <row r="504" spans="1:13" x14ac:dyDescent="0.15">
      <c r="A504" s="79"/>
      <c r="B504" s="79"/>
      <c r="K504" s="79"/>
      <c r="L504" s="79"/>
      <c r="M504" s="79"/>
    </row>
    <row r="505" spans="1:13" x14ac:dyDescent="0.15">
      <c r="A505" s="79"/>
      <c r="B505" s="79"/>
      <c r="K505" s="79"/>
      <c r="L505" s="79"/>
      <c r="M505" s="79"/>
    </row>
    <row r="506" spans="1:13" x14ac:dyDescent="0.15">
      <c r="A506" s="79"/>
      <c r="B506" s="79"/>
      <c r="K506" s="79"/>
      <c r="L506" s="79"/>
      <c r="M506" s="79"/>
    </row>
    <row r="507" spans="1:13" x14ac:dyDescent="0.15">
      <c r="A507" s="79"/>
      <c r="B507" s="79"/>
      <c r="K507" s="79"/>
      <c r="L507" s="79"/>
      <c r="M507" s="79"/>
    </row>
    <row r="508" spans="1:13" x14ac:dyDescent="0.15">
      <c r="A508" s="79"/>
      <c r="B508" s="79"/>
      <c r="K508" s="79"/>
      <c r="L508" s="79"/>
      <c r="M508" s="79"/>
    </row>
    <row r="509" spans="1:13" x14ac:dyDescent="0.15">
      <c r="A509" s="79"/>
      <c r="B509" s="79"/>
      <c r="K509" s="79"/>
      <c r="L509" s="79"/>
      <c r="M509" s="79"/>
    </row>
    <row r="510" spans="1:13" x14ac:dyDescent="0.15">
      <c r="A510" s="79"/>
      <c r="B510" s="79"/>
      <c r="K510" s="79"/>
      <c r="L510" s="79"/>
      <c r="M510" s="79"/>
    </row>
    <row r="511" spans="1:13" x14ac:dyDescent="0.15">
      <c r="A511" s="79"/>
      <c r="B511" s="79"/>
      <c r="K511" s="79"/>
      <c r="L511" s="79"/>
      <c r="M511" s="79"/>
    </row>
    <row r="512" spans="1:13" x14ac:dyDescent="0.15">
      <c r="A512" s="79"/>
      <c r="B512" s="79"/>
      <c r="K512" s="79"/>
      <c r="L512" s="79"/>
      <c r="M512" s="79"/>
    </row>
    <row r="513" spans="1:13" x14ac:dyDescent="0.15">
      <c r="A513" s="79"/>
      <c r="B513" s="79"/>
      <c r="K513" s="79"/>
      <c r="L513" s="79"/>
      <c r="M513" s="79"/>
    </row>
    <row r="514" spans="1:13" x14ac:dyDescent="0.15">
      <c r="A514" s="79"/>
      <c r="B514" s="79"/>
      <c r="K514" s="79"/>
      <c r="L514" s="79"/>
      <c r="M514" s="79"/>
    </row>
    <row r="515" spans="1:13" x14ac:dyDescent="0.15">
      <c r="A515" s="79"/>
      <c r="B515" s="79"/>
      <c r="K515" s="79"/>
      <c r="L515" s="79"/>
      <c r="M515" s="79"/>
    </row>
    <row r="516" spans="1:13" x14ac:dyDescent="0.15">
      <c r="A516" s="79"/>
      <c r="B516" s="79"/>
      <c r="K516" s="79"/>
      <c r="L516" s="79"/>
      <c r="M516" s="79"/>
    </row>
    <row r="517" spans="1:13" x14ac:dyDescent="0.15">
      <c r="A517" s="79"/>
      <c r="B517" s="79"/>
      <c r="K517" s="79"/>
      <c r="L517" s="79"/>
      <c r="M517" s="79"/>
    </row>
    <row r="518" spans="1:13" x14ac:dyDescent="0.15">
      <c r="A518" s="79"/>
      <c r="B518" s="79"/>
      <c r="K518" s="79"/>
      <c r="L518" s="79"/>
      <c r="M518" s="79"/>
    </row>
    <row r="519" spans="1:13" x14ac:dyDescent="0.15">
      <c r="A519" s="79"/>
      <c r="B519" s="79"/>
      <c r="K519" s="79"/>
      <c r="L519" s="79"/>
      <c r="M519" s="79"/>
    </row>
    <row r="520" spans="1:13" x14ac:dyDescent="0.15">
      <c r="A520" s="79"/>
      <c r="B520" s="79"/>
      <c r="K520" s="79"/>
      <c r="L520" s="79"/>
      <c r="M520" s="79"/>
    </row>
    <row r="521" spans="1:13" x14ac:dyDescent="0.15">
      <c r="A521" s="79"/>
      <c r="B521" s="79"/>
      <c r="K521" s="79"/>
      <c r="L521" s="79"/>
      <c r="M521" s="79"/>
    </row>
    <row r="522" spans="1:13" x14ac:dyDescent="0.15">
      <c r="A522" s="79"/>
      <c r="B522" s="79"/>
      <c r="K522" s="79"/>
      <c r="L522" s="79"/>
      <c r="M522" s="79"/>
    </row>
    <row r="523" spans="1:13" x14ac:dyDescent="0.15">
      <c r="A523" s="79"/>
      <c r="B523" s="79"/>
      <c r="K523" s="79"/>
      <c r="L523" s="79"/>
      <c r="M523" s="79"/>
    </row>
    <row r="524" spans="1:13" x14ac:dyDescent="0.15">
      <c r="A524" s="79"/>
      <c r="B524" s="79"/>
      <c r="K524" s="79"/>
      <c r="L524" s="79"/>
      <c r="M524" s="79"/>
    </row>
    <row r="525" spans="1:13" x14ac:dyDescent="0.15">
      <c r="A525" s="79"/>
      <c r="B525" s="79"/>
      <c r="K525" s="79"/>
      <c r="L525" s="79"/>
      <c r="M525" s="79"/>
    </row>
    <row r="526" spans="1:13" x14ac:dyDescent="0.15">
      <c r="A526" s="79"/>
      <c r="B526" s="79"/>
      <c r="K526" s="79"/>
      <c r="L526" s="79"/>
      <c r="M526" s="79"/>
    </row>
    <row r="527" spans="1:13" x14ac:dyDescent="0.15">
      <c r="A527" s="79"/>
      <c r="B527" s="79"/>
      <c r="K527" s="79"/>
      <c r="L527" s="79"/>
      <c r="M527" s="79"/>
    </row>
    <row r="528" spans="1:13" x14ac:dyDescent="0.15">
      <c r="A528" s="79"/>
      <c r="B528" s="79"/>
      <c r="K528" s="79"/>
      <c r="L528" s="79"/>
      <c r="M528" s="79"/>
    </row>
    <row r="529" spans="1:13" x14ac:dyDescent="0.15">
      <c r="A529" s="79"/>
      <c r="B529" s="79"/>
      <c r="K529" s="79"/>
      <c r="L529" s="79"/>
      <c r="M529" s="79"/>
    </row>
    <row r="530" spans="1:13" x14ac:dyDescent="0.15">
      <c r="A530" s="79"/>
      <c r="B530" s="79"/>
      <c r="K530" s="79"/>
      <c r="L530" s="79"/>
      <c r="M530" s="79"/>
    </row>
    <row r="531" spans="1:13" x14ac:dyDescent="0.15">
      <c r="A531" s="79"/>
      <c r="B531" s="79"/>
      <c r="K531" s="79"/>
      <c r="L531" s="79"/>
      <c r="M531" s="79"/>
    </row>
    <row r="532" spans="1:13" x14ac:dyDescent="0.15">
      <c r="A532" s="79"/>
      <c r="B532" s="79"/>
      <c r="K532" s="79"/>
      <c r="L532" s="79"/>
      <c r="M532" s="79"/>
    </row>
    <row r="533" spans="1:13" x14ac:dyDescent="0.15">
      <c r="A533" s="79"/>
      <c r="B533" s="79"/>
      <c r="K533" s="79"/>
      <c r="L533" s="79"/>
      <c r="M533" s="79"/>
    </row>
    <row r="534" spans="1:13" x14ac:dyDescent="0.15">
      <c r="A534" s="79"/>
      <c r="B534" s="79"/>
      <c r="K534" s="79"/>
      <c r="L534" s="79"/>
      <c r="M534" s="79"/>
    </row>
    <row r="535" spans="1:13" x14ac:dyDescent="0.15">
      <c r="A535" s="79"/>
      <c r="B535" s="79"/>
      <c r="K535" s="79"/>
      <c r="L535" s="79"/>
      <c r="M535" s="79"/>
    </row>
    <row r="536" spans="1:13" x14ac:dyDescent="0.15">
      <c r="A536" s="79"/>
      <c r="B536" s="79"/>
      <c r="K536" s="79"/>
      <c r="L536" s="79"/>
      <c r="M536" s="79"/>
    </row>
    <row r="537" spans="1:13" x14ac:dyDescent="0.15">
      <c r="A537" s="79"/>
      <c r="B537" s="79"/>
      <c r="K537" s="79"/>
      <c r="L537" s="79"/>
      <c r="M537" s="79"/>
    </row>
    <row r="538" spans="1:13" x14ac:dyDescent="0.15">
      <c r="A538" s="79"/>
      <c r="B538" s="79"/>
      <c r="K538" s="79"/>
      <c r="L538" s="79"/>
      <c r="M538" s="79"/>
    </row>
    <row r="539" spans="1:13" x14ac:dyDescent="0.15">
      <c r="A539" s="79"/>
      <c r="B539" s="79"/>
      <c r="K539" s="79"/>
      <c r="L539" s="79"/>
      <c r="M539" s="79"/>
    </row>
    <row r="540" spans="1:13" x14ac:dyDescent="0.15">
      <c r="A540" s="79"/>
      <c r="B540" s="79"/>
      <c r="K540" s="79"/>
      <c r="L540" s="79"/>
      <c r="M540" s="79"/>
    </row>
    <row r="541" spans="1:13" x14ac:dyDescent="0.15">
      <c r="A541" s="79"/>
      <c r="B541" s="79"/>
      <c r="K541" s="79"/>
      <c r="L541" s="79"/>
      <c r="M541" s="79"/>
    </row>
    <row r="542" spans="1:13" x14ac:dyDescent="0.15">
      <c r="A542" s="79"/>
      <c r="B542" s="79"/>
      <c r="K542" s="79"/>
      <c r="L542" s="79"/>
      <c r="M542" s="79"/>
    </row>
    <row r="543" spans="1:13" x14ac:dyDescent="0.15">
      <c r="A543" s="79"/>
      <c r="B543" s="79"/>
      <c r="K543" s="79"/>
      <c r="L543" s="79"/>
      <c r="M543" s="79"/>
    </row>
    <row r="544" spans="1:13" x14ac:dyDescent="0.15">
      <c r="A544" s="79"/>
      <c r="B544" s="79"/>
      <c r="K544" s="79"/>
      <c r="L544" s="79"/>
      <c r="M544" s="79"/>
    </row>
    <row r="545" spans="1:13" x14ac:dyDescent="0.15">
      <c r="A545" s="79"/>
      <c r="B545" s="79"/>
      <c r="K545" s="79"/>
      <c r="L545" s="79"/>
      <c r="M545" s="79"/>
    </row>
    <row r="546" spans="1:13" x14ac:dyDescent="0.15">
      <c r="A546" s="79"/>
      <c r="B546" s="79"/>
      <c r="K546" s="79"/>
      <c r="L546" s="79"/>
      <c r="M546" s="79"/>
    </row>
    <row r="547" spans="1:13" x14ac:dyDescent="0.15">
      <c r="A547" s="79"/>
      <c r="B547" s="79"/>
      <c r="K547" s="79"/>
      <c r="L547" s="79"/>
      <c r="M547" s="79"/>
    </row>
    <row r="548" spans="1:13" x14ac:dyDescent="0.15">
      <c r="A548" s="79"/>
      <c r="B548" s="79"/>
      <c r="K548" s="79"/>
      <c r="L548" s="79"/>
      <c r="M548" s="79"/>
    </row>
    <row r="549" spans="1:13" x14ac:dyDescent="0.15">
      <c r="A549" s="79"/>
      <c r="B549" s="79"/>
      <c r="K549" s="79"/>
      <c r="L549" s="79"/>
      <c r="M549" s="79"/>
    </row>
    <row r="550" spans="1:13" x14ac:dyDescent="0.15">
      <c r="A550" s="79"/>
      <c r="B550" s="79"/>
      <c r="K550" s="79"/>
      <c r="L550" s="79"/>
      <c r="M550" s="79"/>
    </row>
    <row r="551" spans="1:13" x14ac:dyDescent="0.15">
      <c r="A551" s="79"/>
      <c r="B551" s="79"/>
      <c r="K551" s="79"/>
      <c r="L551" s="79"/>
      <c r="M551" s="79"/>
    </row>
    <row r="552" spans="1:13" x14ac:dyDescent="0.15">
      <c r="A552" s="79"/>
      <c r="B552" s="79"/>
      <c r="K552" s="79"/>
      <c r="L552" s="79"/>
      <c r="M552" s="79"/>
    </row>
    <row r="553" spans="1:13" x14ac:dyDescent="0.15">
      <c r="A553" s="79"/>
      <c r="B553" s="79"/>
      <c r="K553" s="79"/>
      <c r="L553" s="79"/>
      <c r="M553" s="79"/>
    </row>
    <row r="554" spans="1:13" x14ac:dyDescent="0.15">
      <c r="A554" s="79"/>
      <c r="B554" s="79"/>
      <c r="K554" s="79"/>
      <c r="L554" s="79"/>
      <c r="M554" s="79"/>
    </row>
    <row r="555" spans="1:13" x14ac:dyDescent="0.15">
      <c r="A555" s="79"/>
      <c r="B555" s="79"/>
      <c r="K555" s="79"/>
      <c r="L555" s="79"/>
      <c r="M555" s="79"/>
    </row>
    <row r="556" spans="1:13" x14ac:dyDescent="0.15">
      <c r="A556" s="79"/>
      <c r="B556" s="79"/>
      <c r="K556" s="79"/>
      <c r="L556" s="79"/>
      <c r="M556" s="79"/>
    </row>
    <row r="557" spans="1:13" x14ac:dyDescent="0.15">
      <c r="A557" s="79"/>
      <c r="B557" s="79"/>
      <c r="K557" s="79"/>
      <c r="L557" s="79"/>
      <c r="M557" s="79"/>
    </row>
    <row r="558" spans="1:13" x14ac:dyDescent="0.15">
      <c r="A558" s="79"/>
      <c r="B558" s="79"/>
      <c r="K558" s="79"/>
      <c r="L558" s="79"/>
      <c r="M558" s="79"/>
    </row>
    <row r="559" spans="1:13" x14ac:dyDescent="0.15">
      <c r="A559" s="79"/>
      <c r="B559" s="79"/>
      <c r="K559" s="79"/>
      <c r="L559" s="79"/>
      <c r="M559" s="79"/>
    </row>
    <row r="560" spans="1:13" x14ac:dyDescent="0.15">
      <c r="A560" s="79"/>
      <c r="B560" s="79"/>
      <c r="K560" s="79"/>
      <c r="L560" s="79"/>
      <c r="M560" s="79"/>
    </row>
    <row r="561" spans="1:13" x14ac:dyDescent="0.15">
      <c r="A561" s="79"/>
      <c r="B561" s="79"/>
      <c r="K561" s="79"/>
      <c r="L561" s="79"/>
      <c r="M561" s="79"/>
    </row>
    <row r="562" spans="1:13" x14ac:dyDescent="0.15">
      <c r="A562" s="79"/>
      <c r="B562" s="79"/>
      <c r="K562" s="79"/>
      <c r="L562" s="79"/>
      <c r="M562" s="79"/>
    </row>
    <row r="563" spans="1:13" x14ac:dyDescent="0.15">
      <c r="A563" s="79"/>
      <c r="B563" s="79"/>
      <c r="K563" s="79"/>
      <c r="L563" s="79"/>
      <c r="M563" s="79"/>
    </row>
    <row r="564" spans="1:13" x14ac:dyDescent="0.15">
      <c r="A564" s="79"/>
      <c r="B564" s="79"/>
      <c r="K564" s="79"/>
      <c r="L564" s="79"/>
      <c r="M564" s="79"/>
    </row>
    <row r="565" spans="1:13" x14ac:dyDescent="0.15">
      <c r="A565" s="79"/>
      <c r="B565" s="79"/>
      <c r="K565" s="79"/>
      <c r="L565" s="79"/>
      <c r="M565" s="79"/>
    </row>
    <row r="566" spans="1:13" x14ac:dyDescent="0.15">
      <c r="A566" s="79"/>
      <c r="B566" s="79"/>
      <c r="K566" s="79"/>
      <c r="L566" s="79"/>
      <c r="M566" s="79"/>
    </row>
    <row r="567" spans="1:13" x14ac:dyDescent="0.15">
      <c r="A567" s="79"/>
      <c r="B567" s="79"/>
      <c r="K567" s="79"/>
      <c r="L567" s="79"/>
      <c r="M567" s="79"/>
    </row>
    <row r="568" spans="1:13" x14ac:dyDescent="0.15">
      <c r="A568" s="79"/>
      <c r="B568" s="79"/>
      <c r="K568" s="79"/>
      <c r="L568" s="79"/>
      <c r="M568" s="79"/>
    </row>
    <row r="569" spans="1:13" x14ac:dyDescent="0.15">
      <c r="A569" s="79"/>
      <c r="B569" s="79"/>
      <c r="K569" s="79"/>
      <c r="L569" s="79"/>
      <c r="M569" s="79"/>
    </row>
    <row r="570" spans="1:13" x14ac:dyDescent="0.15">
      <c r="A570" s="79"/>
      <c r="B570" s="79"/>
      <c r="K570" s="79"/>
      <c r="L570" s="79"/>
      <c r="M570" s="79"/>
    </row>
    <row r="571" spans="1:13" x14ac:dyDescent="0.15">
      <c r="A571" s="79"/>
      <c r="B571" s="79"/>
      <c r="K571" s="79"/>
      <c r="L571" s="79"/>
      <c r="M571" s="79"/>
    </row>
    <row r="572" spans="1:13" x14ac:dyDescent="0.15">
      <c r="A572" s="79"/>
      <c r="B572" s="79"/>
      <c r="K572" s="79"/>
      <c r="L572" s="79"/>
      <c r="M572" s="79"/>
    </row>
    <row r="573" spans="1:13" x14ac:dyDescent="0.15">
      <c r="A573" s="79"/>
      <c r="B573" s="79"/>
      <c r="K573" s="79"/>
      <c r="L573" s="79"/>
      <c r="M573" s="79"/>
    </row>
    <row r="574" spans="1:13" x14ac:dyDescent="0.15">
      <c r="A574" s="79"/>
      <c r="B574" s="79"/>
      <c r="K574" s="79"/>
      <c r="L574" s="79"/>
      <c r="M574" s="79"/>
    </row>
    <row r="575" spans="1:13" x14ac:dyDescent="0.15">
      <c r="A575" s="79"/>
      <c r="B575" s="79"/>
      <c r="K575" s="79"/>
      <c r="L575" s="79"/>
      <c r="M575" s="79"/>
    </row>
    <row r="576" spans="1:13" x14ac:dyDescent="0.15">
      <c r="A576" s="79"/>
      <c r="B576" s="79"/>
      <c r="K576" s="79"/>
      <c r="L576" s="79"/>
      <c r="M576" s="79"/>
    </row>
    <row r="577" spans="1:13" x14ac:dyDescent="0.15">
      <c r="A577" s="79"/>
      <c r="B577" s="79"/>
      <c r="K577" s="79"/>
      <c r="L577" s="79"/>
      <c r="M577" s="79"/>
    </row>
    <row r="578" spans="1:13" x14ac:dyDescent="0.15">
      <c r="A578" s="79"/>
      <c r="B578" s="79"/>
      <c r="K578" s="79"/>
      <c r="L578" s="79"/>
      <c r="M578" s="79"/>
    </row>
    <row r="579" spans="1:13" x14ac:dyDescent="0.15">
      <c r="A579" s="79"/>
      <c r="B579" s="79"/>
      <c r="K579" s="79"/>
      <c r="L579" s="79"/>
      <c r="M579" s="79"/>
    </row>
    <row r="580" spans="1:13" x14ac:dyDescent="0.15">
      <c r="A580" s="79"/>
      <c r="B580" s="79"/>
      <c r="K580" s="79"/>
      <c r="L580" s="79"/>
      <c r="M580" s="79"/>
    </row>
    <row r="581" spans="1:13" x14ac:dyDescent="0.15">
      <c r="A581" s="79"/>
      <c r="B581" s="79"/>
      <c r="K581" s="79"/>
      <c r="L581" s="79"/>
      <c r="M581" s="79"/>
    </row>
    <row r="582" spans="1:13" x14ac:dyDescent="0.15">
      <c r="A582" s="79"/>
      <c r="B582" s="79"/>
      <c r="K582" s="79"/>
      <c r="L582" s="79"/>
      <c r="M582" s="79"/>
    </row>
    <row r="583" spans="1:13" x14ac:dyDescent="0.15">
      <c r="A583" s="79"/>
      <c r="B583" s="79"/>
      <c r="K583" s="79"/>
      <c r="L583" s="79"/>
      <c r="M583" s="79"/>
    </row>
    <row r="584" spans="1:13" x14ac:dyDescent="0.15">
      <c r="A584" s="79"/>
      <c r="B584" s="79"/>
      <c r="K584" s="79"/>
      <c r="L584" s="79"/>
      <c r="M584" s="79"/>
    </row>
    <row r="585" spans="1:13" x14ac:dyDescent="0.15">
      <c r="A585" s="79"/>
      <c r="B585" s="79"/>
      <c r="K585" s="79"/>
      <c r="L585" s="79"/>
      <c r="M585" s="79"/>
    </row>
    <row r="586" spans="1:13" x14ac:dyDescent="0.15">
      <c r="A586" s="79"/>
      <c r="B586" s="79"/>
      <c r="K586" s="79"/>
      <c r="L586" s="79"/>
      <c r="M586" s="79"/>
    </row>
    <row r="587" spans="1:13" x14ac:dyDescent="0.15">
      <c r="A587" s="79"/>
      <c r="B587" s="79"/>
      <c r="K587" s="79"/>
      <c r="L587" s="79"/>
      <c r="M587" s="79"/>
    </row>
    <row r="588" spans="1:13" x14ac:dyDescent="0.15">
      <c r="A588" s="79"/>
      <c r="B588" s="79"/>
      <c r="K588" s="79"/>
      <c r="L588" s="79"/>
      <c r="M588" s="79"/>
    </row>
    <row r="589" spans="1:13" x14ac:dyDescent="0.15">
      <c r="A589" s="79"/>
      <c r="B589" s="79"/>
      <c r="K589" s="79"/>
      <c r="L589" s="79"/>
      <c r="M589" s="79"/>
    </row>
    <row r="590" spans="1:13" x14ac:dyDescent="0.15">
      <c r="A590" s="79"/>
      <c r="B590" s="79"/>
      <c r="K590" s="79"/>
      <c r="L590" s="79"/>
      <c r="M590" s="79"/>
    </row>
    <row r="591" spans="1:13" x14ac:dyDescent="0.15">
      <c r="A591" s="79"/>
      <c r="B591" s="79"/>
      <c r="K591" s="79"/>
      <c r="L591" s="79"/>
      <c r="M591" s="79"/>
    </row>
    <row r="592" spans="1:13" x14ac:dyDescent="0.15">
      <c r="A592" s="79"/>
      <c r="B592" s="79"/>
      <c r="K592" s="79"/>
      <c r="L592" s="79"/>
      <c r="M592" s="79"/>
    </row>
    <row r="593" spans="1:13" x14ac:dyDescent="0.15">
      <c r="A593" s="79"/>
      <c r="B593" s="79"/>
      <c r="K593" s="79"/>
      <c r="L593" s="79"/>
      <c r="M593" s="79"/>
    </row>
    <row r="594" spans="1:13" x14ac:dyDescent="0.15">
      <c r="A594" s="79"/>
      <c r="B594" s="79"/>
      <c r="K594" s="79"/>
      <c r="L594" s="79"/>
      <c r="M594" s="79"/>
    </row>
    <row r="595" spans="1:13" x14ac:dyDescent="0.15">
      <c r="A595" s="79"/>
      <c r="B595" s="79"/>
      <c r="K595" s="79"/>
      <c r="L595" s="79"/>
      <c r="M595" s="79"/>
    </row>
    <row r="596" spans="1:13" x14ac:dyDescent="0.15">
      <c r="A596" s="79"/>
      <c r="B596" s="79"/>
      <c r="K596" s="79"/>
      <c r="L596" s="79"/>
      <c r="M596" s="79"/>
    </row>
    <row r="597" spans="1:13" x14ac:dyDescent="0.15">
      <c r="A597" s="79"/>
      <c r="B597" s="79"/>
      <c r="K597" s="79"/>
      <c r="L597" s="79"/>
      <c r="M597" s="79"/>
    </row>
    <row r="598" spans="1:13" x14ac:dyDescent="0.15">
      <c r="A598" s="79"/>
      <c r="B598" s="79"/>
      <c r="K598" s="79"/>
      <c r="L598" s="79"/>
      <c r="M598" s="79"/>
    </row>
    <row r="599" spans="1:13" x14ac:dyDescent="0.15">
      <c r="A599" s="79"/>
      <c r="B599" s="79"/>
      <c r="K599" s="79"/>
      <c r="L599" s="79"/>
      <c r="M599" s="79"/>
    </row>
    <row r="600" spans="1:13" x14ac:dyDescent="0.15">
      <c r="A600" s="79"/>
      <c r="B600" s="79"/>
      <c r="K600" s="79"/>
      <c r="L600" s="79"/>
      <c r="M600" s="79"/>
    </row>
    <row r="601" spans="1:13" x14ac:dyDescent="0.15">
      <c r="A601" s="79"/>
      <c r="B601" s="79"/>
      <c r="K601" s="79"/>
      <c r="L601" s="79"/>
      <c r="M601" s="79"/>
    </row>
    <row r="602" spans="1:13" x14ac:dyDescent="0.15">
      <c r="A602" s="79"/>
      <c r="B602" s="79"/>
      <c r="K602" s="79"/>
      <c r="L602" s="79"/>
      <c r="M602" s="79"/>
    </row>
    <row r="603" spans="1:13" x14ac:dyDescent="0.15">
      <c r="A603" s="79"/>
      <c r="B603" s="79"/>
      <c r="K603" s="79"/>
      <c r="L603" s="79"/>
      <c r="M603" s="79"/>
    </row>
    <row r="604" spans="1:13" x14ac:dyDescent="0.15">
      <c r="A604" s="79"/>
      <c r="B604" s="79"/>
      <c r="K604" s="79"/>
      <c r="L604" s="79"/>
      <c r="M604" s="79"/>
    </row>
    <row r="605" spans="1:13" x14ac:dyDescent="0.15">
      <c r="A605" s="79"/>
      <c r="B605" s="79"/>
      <c r="K605" s="79"/>
      <c r="L605" s="79"/>
      <c r="M605" s="79"/>
    </row>
    <row r="606" spans="1:13" x14ac:dyDescent="0.15">
      <c r="A606" s="79"/>
      <c r="B606" s="79"/>
      <c r="K606" s="79"/>
      <c r="L606" s="79"/>
      <c r="M606" s="79"/>
    </row>
    <row r="607" spans="1:13" x14ac:dyDescent="0.15">
      <c r="A607" s="79"/>
      <c r="B607" s="79"/>
      <c r="K607" s="79"/>
      <c r="L607" s="79"/>
      <c r="M607" s="79"/>
    </row>
    <row r="608" spans="1:13" x14ac:dyDescent="0.15">
      <c r="A608" s="79"/>
      <c r="B608" s="79"/>
      <c r="K608" s="79"/>
      <c r="L608" s="79"/>
      <c r="M608" s="79"/>
    </row>
    <row r="609" spans="1:13" x14ac:dyDescent="0.15">
      <c r="A609" s="79"/>
      <c r="B609" s="79"/>
      <c r="K609" s="79"/>
      <c r="L609" s="79"/>
      <c r="M609" s="79"/>
    </row>
    <row r="610" spans="1:13" x14ac:dyDescent="0.15">
      <c r="A610" s="79"/>
      <c r="B610" s="79"/>
      <c r="K610" s="79"/>
      <c r="L610" s="79"/>
      <c r="M610" s="79"/>
    </row>
    <row r="611" spans="1:13" x14ac:dyDescent="0.15">
      <c r="A611" s="79"/>
      <c r="B611" s="79"/>
      <c r="K611" s="79"/>
      <c r="L611" s="79"/>
      <c r="M611" s="79"/>
    </row>
    <row r="612" spans="1:13" x14ac:dyDescent="0.15">
      <c r="A612" s="79"/>
      <c r="B612" s="79"/>
      <c r="K612" s="79"/>
      <c r="L612" s="79"/>
      <c r="M612" s="79"/>
    </row>
    <row r="613" spans="1:13" x14ac:dyDescent="0.15">
      <c r="A613" s="79"/>
      <c r="B613" s="79"/>
      <c r="K613" s="79"/>
      <c r="L613" s="79"/>
      <c r="M613" s="79"/>
    </row>
    <row r="614" spans="1:13" x14ac:dyDescent="0.15">
      <c r="A614" s="79"/>
      <c r="B614" s="79"/>
      <c r="K614" s="79"/>
      <c r="L614" s="79"/>
      <c r="M614" s="79"/>
    </row>
    <row r="615" spans="1:13" x14ac:dyDescent="0.15">
      <c r="A615" s="79"/>
      <c r="B615" s="79"/>
      <c r="K615" s="79"/>
      <c r="L615" s="79"/>
      <c r="M615" s="79"/>
    </row>
    <row r="616" spans="1:13" x14ac:dyDescent="0.15">
      <c r="A616" s="79"/>
      <c r="B616" s="79"/>
      <c r="K616" s="79"/>
      <c r="L616" s="79"/>
      <c r="M616" s="79"/>
    </row>
    <row r="617" spans="1:13" x14ac:dyDescent="0.15">
      <c r="A617" s="79"/>
      <c r="B617" s="79"/>
      <c r="K617" s="79"/>
      <c r="L617" s="79"/>
      <c r="M617" s="79"/>
    </row>
    <row r="618" spans="1:13" x14ac:dyDescent="0.15">
      <c r="A618" s="79"/>
      <c r="B618" s="79"/>
      <c r="K618" s="79"/>
      <c r="L618" s="79"/>
      <c r="M618" s="79"/>
    </row>
    <row r="619" spans="1:13" x14ac:dyDescent="0.15">
      <c r="A619" s="79"/>
      <c r="B619" s="79"/>
      <c r="K619" s="79"/>
      <c r="L619" s="79"/>
      <c r="M619" s="79"/>
    </row>
    <row r="620" spans="1:13" x14ac:dyDescent="0.15">
      <c r="A620" s="79"/>
      <c r="B620" s="79"/>
      <c r="K620" s="79"/>
      <c r="L620" s="79"/>
      <c r="M620" s="79"/>
    </row>
    <row r="621" spans="1:13" x14ac:dyDescent="0.15">
      <c r="A621" s="79"/>
      <c r="B621" s="79"/>
      <c r="K621" s="79"/>
      <c r="L621" s="79"/>
      <c r="M621" s="79"/>
    </row>
    <row r="622" spans="1:13" x14ac:dyDescent="0.15">
      <c r="A622" s="79"/>
      <c r="B622" s="79"/>
      <c r="K622" s="79"/>
      <c r="L622" s="79"/>
      <c r="M622" s="79"/>
    </row>
    <row r="623" spans="1:13" x14ac:dyDescent="0.15">
      <c r="A623" s="79"/>
      <c r="B623" s="79"/>
      <c r="K623" s="79"/>
      <c r="L623" s="79"/>
      <c r="M623" s="79"/>
    </row>
    <row r="624" spans="1:13" x14ac:dyDescent="0.15">
      <c r="A624" s="79"/>
      <c r="B624" s="79"/>
      <c r="K624" s="79"/>
      <c r="L624" s="79"/>
      <c r="M624" s="79"/>
    </row>
    <row r="625" spans="1:13" x14ac:dyDescent="0.15">
      <c r="A625" s="79"/>
      <c r="B625" s="79"/>
      <c r="K625" s="79"/>
      <c r="L625" s="79"/>
      <c r="M625" s="79"/>
    </row>
    <row r="626" spans="1:13" x14ac:dyDescent="0.15">
      <c r="A626" s="79"/>
      <c r="B626" s="79"/>
      <c r="K626" s="79"/>
      <c r="L626" s="79"/>
      <c r="M626" s="79"/>
    </row>
    <row r="627" spans="1:13" x14ac:dyDescent="0.15">
      <c r="A627" s="79"/>
      <c r="B627" s="79"/>
      <c r="K627" s="79"/>
      <c r="L627" s="79"/>
      <c r="M627" s="79"/>
    </row>
    <row r="628" spans="1:13" x14ac:dyDescent="0.15">
      <c r="A628" s="79"/>
      <c r="B628" s="79"/>
      <c r="K628" s="79"/>
      <c r="L628" s="79"/>
      <c r="M628" s="79"/>
    </row>
    <row r="629" spans="1:13" x14ac:dyDescent="0.15">
      <c r="A629" s="79"/>
      <c r="B629" s="79"/>
      <c r="K629" s="79"/>
      <c r="L629" s="79"/>
      <c r="M629" s="79"/>
    </row>
    <row r="630" spans="1:13" x14ac:dyDescent="0.15">
      <c r="A630" s="79"/>
      <c r="B630" s="79"/>
      <c r="K630" s="79"/>
      <c r="L630" s="79"/>
      <c r="M630" s="79"/>
    </row>
    <row r="631" spans="1:13" x14ac:dyDescent="0.15">
      <c r="A631" s="79"/>
      <c r="B631" s="79"/>
      <c r="K631" s="79"/>
      <c r="L631" s="79"/>
      <c r="M631" s="79"/>
    </row>
    <row r="632" spans="1:13" x14ac:dyDescent="0.15">
      <c r="A632" s="79"/>
      <c r="B632" s="79"/>
      <c r="K632" s="79"/>
      <c r="L632" s="79"/>
      <c r="M632" s="79"/>
    </row>
    <row r="633" spans="1:13" x14ac:dyDescent="0.15">
      <c r="A633" s="79"/>
      <c r="B633" s="79"/>
      <c r="K633" s="79"/>
      <c r="L633" s="79"/>
      <c r="M633" s="79"/>
    </row>
    <row r="634" spans="1:13" x14ac:dyDescent="0.15">
      <c r="A634" s="79"/>
      <c r="B634" s="79"/>
      <c r="K634" s="79"/>
      <c r="L634" s="79"/>
      <c r="M634" s="79"/>
    </row>
    <row r="635" spans="1:13" x14ac:dyDescent="0.15">
      <c r="A635" s="79"/>
      <c r="B635" s="79"/>
      <c r="K635" s="79"/>
      <c r="L635" s="79"/>
      <c r="M635" s="79"/>
    </row>
    <row r="636" spans="1:13" x14ac:dyDescent="0.15">
      <c r="A636" s="79"/>
      <c r="B636" s="79"/>
      <c r="K636" s="79"/>
      <c r="L636" s="79"/>
      <c r="M636" s="79"/>
    </row>
    <row r="637" spans="1:13" x14ac:dyDescent="0.15">
      <c r="A637" s="79"/>
      <c r="B637" s="79"/>
      <c r="K637" s="79"/>
      <c r="L637" s="79"/>
      <c r="M637" s="79"/>
    </row>
    <row r="638" spans="1:13" x14ac:dyDescent="0.15">
      <c r="A638" s="79"/>
      <c r="B638" s="79"/>
      <c r="K638" s="79"/>
      <c r="L638" s="79"/>
      <c r="M638" s="79"/>
    </row>
    <row r="639" spans="1:13" x14ac:dyDescent="0.15">
      <c r="A639" s="79"/>
      <c r="B639" s="79"/>
      <c r="K639" s="79"/>
      <c r="L639" s="79"/>
      <c r="M639" s="79"/>
    </row>
    <row r="640" spans="1:13" x14ac:dyDescent="0.15">
      <c r="A640" s="79"/>
      <c r="B640" s="79"/>
      <c r="K640" s="79"/>
      <c r="L640" s="79"/>
      <c r="M640" s="79"/>
    </row>
    <row r="641" spans="1:13" x14ac:dyDescent="0.15">
      <c r="A641" s="79"/>
      <c r="B641" s="79"/>
      <c r="K641" s="79"/>
      <c r="L641" s="79"/>
      <c r="M641" s="79"/>
    </row>
    <row r="642" spans="1:13" x14ac:dyDescent="0.15">
      <c r="A642" s="79"/>
      <c r="B642" s="79"/>
      <c r="K642" s="79"/>
      <c r="L642" s="79"/>
      <c r="M642" s="79"/>
    </row>
    <row r="643" spans="1:13" x14ac:dyDescent="0.15">
      <c r="A643" s="79"/>
      <c r="B643" s="79"/>
      <c r="K643" s="79"/>
      <c r="L643" s="79"/>
      <c r="M643" s="79"/>
    </row>
    <row r="644" spans="1:13" x14ac:dyDescent="0.15">
      <c r="A644" s="79"/>
      <c r="B644" s="79"/>
      <c r="K644" s="79"/>
      <c r="L644" s="79"/>
      <c r="M644" s="79"/>
    </row>
    <row r="645" spans="1:13" x14ac:dyDescent="0.15">
      <c r="A645" s="79"/>
      <c r="B645" s="79"/>
      <c r="K645" s="79"/>
      <c r="L645" s="79"/>
      <c r="M645" s="79"/>
    </row>
    <row r="646" spans="1:13" x14ac:dyDescent="0.15">
      <c r="A646" s="79"/>
      <c r="B646" s="79"/>
      <c r="K646" s="79"/>
      <c r="L646" s="79"/>
      <c r="M646" s="79"/>
    </row>
    <row r="647" spans="1:13" x14ac:dyDescent="0.15">
      <c r="A647" s="79"/>
      <c r="B647" s="79"/>
      <c r="K647" s="79"/>
      <c r="L647" s="79"/>
      <c r="M647" s="79"/>
    </row>
    <row r="648" spans="1:13" x14ac:dyDescent="0.15">
      <c r="A648" s="79"/>
      <c r="B648" s="79"/>
      <c r="K648" s="79"/>
      <c r="L648" s="79"/>
      <c r="M648" s="79"/>
    </row>
    <row r="649" spans="1:13" x14ac:dyDescent="0.15">
      <c r="A649" s="79"/>
      <c r="B649" s="79"/>
      <c r="K649" s="79"/>
      <c r="L649" s="79"/>
      <c r="M649" s="79"/>
    </row>
    <row r="650" spans="1:13" x14ac:dyDescent="0.15">
      <c r="A650" s="79"/>
      <c r="B650" s="79"/>
      <c r="K650" s="79"/>
      <c r="L650" s="79"/>
      <c r="M650" s="79"/>
    </row>
    <row r="651" spans="1:13" x14ac:dyDescent="0.15">
      <c r="A651" s="79"/>
      <c r="B651" s="79"/>
      <c r="K651" s="79"/>
      <c r="L651" s="79"/>
      <c r="M651" s="79"/>
    </row>
    <row r="652" spans="1:13" x14ac:dyDescent="0.15">
      <c r="A652" s="79"/>
      <c r="B652" s="79"/>
      <c r="K652" s="79"/>
      <c r="L652" s="79"/>
      <c r="M652" s="79"/>
    </row>
    <row r="653" spans="1:13" x14ac:dyDescent="0.15">
      <c r="A653" s="79"/>
      <c r="B653" s="79"/>
      <c r="K653" s="79"/>
      <c r="L653" s="79"/>
      <c r="M653" s="79"/>
    </row>
    <row r="654" spans="1:13" x14ac:dyDescent="0.15">
      <c r="A654" s="79"/>
      <c r="B654" s="79"/>
      <c r="K654" s="79"/>
      <c r="L654" s="79"/>
      <c r="M654" s="79"/>
    </row>
    <row r="655" spans="1:13" x14ac:dyDescent="0.15">
      <c r="A655" s="79"/>
      <c r="B655" s="79"/>
      <c r="K655" s="79"/>
      <c r="L655" s="79"/>
      <c r="M655" s="79"/>
    </row>
    <row r="656" spans="1:13" x14ac:dyDescent="0.15">
      <c r="A656" s="79"/>
      <c r="B656" s="79"/>
      <c r="K656" s="79"/>
      <c r="L656" s="79"/>
      <c r="M656" s="79"/>
    </row>
    <row r="657" spans="1:13" x14ac:dyDescent="0.15">
      <c r="A657" s="79"/>
      <c r="B657" s="79"/>
      <c r="K657" s="79"/>
      <c r="L657" s="79"/>
      <c r="M657" s="79"/>
    </row>
    <row r="658" spans="1:13" x14ac:dyDescent="0.15">
      <c r="A658" s="79"/>
      <c r="B658" s="79"/>
      <c r="K658" s="79"/>
      <c r="L658" s="79"/>
      <c r="M658" s="79"/>
    </row>
    <row r="659" spans="1:13" x14ac:dyDescent="0.15">
      <c r="A659" s="79"/>
      <c r="B659" s="79"/>
      <c r="K659" s="79"/>
      <c r="L659" s="79"/>
      <c r="M659" s="79"/>
    </row>
    <row r="660" spans="1:13" x14ac:dyDescent="0.15">
      <c r="A660" s="79"/>
      <c r="B660" s="79"/>
      <c r="K660" s="79"/>
      <c r="L660" s="79"/>
      <c r="M660" s="79"/>
    </row>
    <row r="661" spans="1:13" x14ac:dyDescent="0.15">
      <c r="A661" s="79"/>
      <c r="B661" s="79"/>
      <c r="K661" s="79"/>
      <c r="L661" s="79"/>
      <c r="M661" s="79"/>
    </row>
    <row r="662" spans="1:13" x14ac:dyDescent="0.15">
      <c r="A662" s="79"/>
      <c r="B662" s="79"/>
      <c r="K662" s="79"/>
      <c r="L662" s="79"/>
      <c r="M662" s="79"/>
    </row>
    <row r="663" spans="1:13" x14ac:dyDescent="0.15">
      <c r="A663" s="79"/>
      <c r="B663" s="79"/>
      <c r="K663" s="79"/>
      <c r="L663" s="79"/>
      <c r="M663" s="79"/>
    </row>
    <row r="664" spans="1:13" x14ac:dyDescent="0.15">
      <c r="A664" s="79"/>
      <c r="B664" s="79"/>
      <c r="K664" s="79"/>
      <c r="L664" s="79"/>
      <c r="M664" s="79"/>
    </row>
    <row r="665" spans="1:13" x14ac:dyDescent="0.15">
      <c r="A665" s="79"/>
      <c r="B665" s="79"/>
      <c r="K665" s="79"/>
      <c r="L665" s="79"/>
      <c r="M665" s="79"/>
    </row>
    <row r="666" spans="1:13" x14ac:dyDescent="0.15">
      <c r="A666" s="79"/>
      <c r="B666" s="79"/>
      <c r="K666" s="79"/>
      <c r="L666" s="79"/>
      <c r="M666" s="79"/>
    </row>
    <row r="667" spans="1:13" x14ac:dyDescent="0.15">
      <c r="A667" s="79"/>
      <c r="B667" s="79"/>
      <c r="K667" s="79"/>
      <c r="L667" s="79"/>
      <c r="M667" s="79"/>
    </row>
    <row r="668" spans="1:13" x14ac:dyDescent="0.15">
      <c r="A668" s="79"/>
      <c r="B668" s="79"/>
      <c r="K668" s="79"/>
      <c r="L668" s="79"/>
      <c r="M668" s="79"/>
    </row>
    <row r="669" spans="1:13" x14ac:dyDescent="0.15">
      <c r="A669" s="79"/>
      <c r="B669" s="79"/>
      <c r="K669" s="79"/>
      <c r="L669" s="79"/>
      <c r="M669" s="79"/>
    </row>
    <row r="670" spans="1:13" x14ac:dyDescent="0.15">
      <c r="A670" s="79"/>
      <c r="B670" s="79"/>
      <c r="K670" s="79"/>
      <c r="L670" s="79"/>
      <c r="M670" s="79"/>
    </row>
    <row r="671" spans="1:13" x14ac:dyDescent="0.15">
      <c r="A671" s="79"/>
      <c r="B671" s="79"/>
      <c r="K671" s="79"/>
      <c r="L671" s="79"/>
      <c r="M671" s="79"/>
    </row>
    <row r="672" spans="1:13" x14ac:dyDescent="0.15">
      <c r="A672" s="79"/>
      <c r="B672" s="79"/>
      <c r="K672" s="79"/>
      <c r="L672" s="79"/>
      <c r="M672" s="79"/>
    </row>
    <row r="673" spans="1:13" x14ac:dyDescent="0.15">
      <c r="A673" s="79"/>
      <c r="B673" s="79"/>
      <c r="K673" s="79"/>
      <c r="L673" s="79"/>
      <c r="M673" s="79"/>
    </row>
    <row r="674" spans="1:13" x14ac:dyDescent="0.15">
      <c r="A674" s="79"/>
      <c r="B674" s="79"/>
      <c r="K674" s="79"/>
      <c r="L674" s="79"/>
      <c r="M674" s="79"/>
    </row>
    <row r="675" spans="1:13" x14ac:dyDescent="0.15">
      <c r="A675" s="79"/>
      <c r="B675" s="79"/>
      <c r="K675" s="79"/>
      <c r="L675" s="79"/>
      <c r="M675" s="79"/>
    </row>
    <row r="676" spans="1:13" x14ac:dyDescent="0.15">
      <c r="A676" s="79"/>
      <c r="B676" s="79"/>
      <c r="K676" s="79"/>
      <c r="L676" s="79"/>
      <c r="M676" s="79"/>
    </row>
    <row r="677" spans="1:13" x14ac:dyDescent="0.15">
      <c r="A677" s="79"/>
      <c r="B677" s="79"/>
      <c r="K677" s="79"/>
      <c r="L677" s="79"/>
      <c r="M677" s="79"/>
    </row>
    <row r="678" spans="1:13" x14ac:dyDescent="0.15">
      <c r="A678" s="79"/>
      <c r="B678" s="79"/>
      <c r="K678" s="79"/>
      <c r="L678" s="79"/>
      <c r="M678" s="79"/>
    </row>
    <row r="679" spans="1:13" x14ac:dyDescent="0.15">
      <c r="A679" s="79"/>
      <c r="B679" s="79"/>
      <c r="K679" s="79"/>
      <c r="L679" s="79"/>
      <c r="M679" s="79"/>
    </row>
    <row r="680" spans="1:13" x14ac:dyDescent="0.15">
      <c r="A680" s="79"/>
      <c r="B680" s="79"/>
      <c r="K680" s="79"/>
      <c r="L680" s="79"/>
      <c r="M680" s="79"/>
    </row>
    <row r="681" spans="1:13" x14ac:dyDescent="0.15">
      <c r="A681" s="79"/>
      <c r="B681" s="79"/>
      <c r="K681" s="79"/>
      <c r="L681" s="79"/>
      <c r="M681" s="79"/>
    </row>
    <row r="682" spans="1:13" x14ac:dyDescent="0.15">
      <c r="A682" s="79"/>
      <c r="B682" s="79"/>
      <c r="K682" s="79"/>
      <c r="L682" s="79"/>
      <c r="M682" s="79"/>
    </row>
    <row r="683" spans="1:13" x14ac:dyDescent="0.15">
      <c r="A683" s="79"/>
      <c r="B683" s="79"/>
      <c r="K683" s="79"/>
      <c r="L683" s="79"/>
      <c r="M683" s="79"/>
    </row>
    <row r="684" spans="1:13" x14ac:dyDescent="0.15">
      <c r="A684" s="79"/>
      <c r="B684" s="79"/>
      <c r="K684" s="79"/>
      <c r="L684" s="79"/>
      <c r="M684" s="79"/>
    </row>
    <row r="685" spans="1:13" x14ac:dyDescent="0.15">
      <c r="A685" s="79"/>
      <c r="B685" s="79"/>
      <c r="K685" s="79"/>
      <c r="L685" s="79"/>
      <c r="M685" s="79"/>
    </row>
    <row r="686" spans="1:13" x14ac:dyDescent="0.15">
      <c r="A686" s="79"/>
      <c r="B686" s="79"/>
      <c r="K686" s="79"/>
      <c r="L686" s="79"/>
      <c r="M686" s="79"/>
    </row>
    <row r="687" spans="1:13" x14ac:dyDescent="0.15">
      <c r="A687" s="79"/>
      <c r="B687" s="79"/>
      <c r="K687" s="79"/>
      <c r="L687" s="79"/>
      <c r="M687" s="79"/>
    </row>
    <row r="688" spans="1:13" x14ac:dyDescent="0.15">
      <c r="A688" s="79"/>
      <c r="B688" s="79"/>
      <c r="K688" s="79"/>
      <c r="L688" s="79"/>
      <c r="M688" s="79"/>
    </row>
    <row r="689" spans="1:13" x14ac:dyDescent="0.15">
      <c r="A689" s="79"/>
      <c r="B689" s="79"/>
      <c r="K689" s="79"/>
      <c r="L689" s="79"/>
      <c r="M689" s="79"/>
    </row>
    <row r="690" spans="1:13" x14ac:dyDescent="0.15">
      <c r="A690" s="79"/>
      <c r="B690" s="79"/>
      <c r="K690" s="79"/>
      <c r="L690" s="79"/>
      <c r="M690" s="79"/>
    </row>
    <row r="691" spans="1:13" x14ac:dyDescent="0.15">
      <c r="A691" s="79"/>
      <c r="B691" s="79"/>
      <c r="K691" s="79"/>
      <c r="L691" s="79"/>
      <c r="M691" s="79"/>
    </row>
    <row r="692" spans="1:13" x14ac:dyDescent="0.15">
      <c r="A692" s="79"/>
      <c r="B692" s="79"/>
      <c r="K692" s="79"/>
      <c r="L692" s="79"/>
      <c r="M692" s="79"/>
    </row>
    <row r="693" spans="1:13" x14ac:dyDescent="0.15">
      <c r="A693" s="79"/>
      <c r="B693" s="79"/>
      <c r="K693" s="79"/>
      <c r="L693" s="79"/>
      <c r="M693" s="79"/>
    </row>
    <row r="694" spans="1:13" x14ac:dyDescent="0.15">
      <c r="A694" s="79"/>
      <c r="B694" s="79"/>
      <c r="K694" s="79"/>
      <c r="L694" s="79"/>
      <c r="M694" s="79"/>
    </row>
    <row r="695" spans="1:13" x14ac:dyDescent="0.15">
      <c r="A695" s="79"/>
      <c r="B695" s="79"/>
      <c r="K695" s="79"/>
      <c r="L695" s="79"/>
      <c r="M695" s="79"/>
    </row>
    <row r="696" spans="1:13" x14ac:dyDescent="0.15">
      <c r="A696" s="79"/>
      <c r="B696" s="79"/>
      <c r="K696" s="79"/>
      <c r="L696" s="79"/>
      <c r="M696" s="79"/>
    </row>
    <row r="697" spans="1:13" x14ac:dyDescent="0.15">
      <c r="A697" s="79"/>
      <c r="B697" s="79"/>
      <c r="K697" s="79"/>
      <c r="L697" s="79"/>
      <c r="M697" s="79"/>
    </row>
    <row r="698" spans="1:13" x14ac:dyDescent="0.15">
      <c r="A698" s="79"/>
      <c r="B698" s="79"/>
      <c r="K698" s="79"/>
      <c r="L698" s="79"/>
      <c r="M698" s="79"/>
    </row>
    <row r="699" spans="1:13" x14ac:dyDescent="0.15">
      <c r="A699" s="79"/>
      <c r="B699" s="79"/>
      <c r="K699" s="79"/>
      <c r="L699" s="79"/>
      <c r="M699" s="79"/>
    </row>
    <row r="700" spans="1:13" x14ac:dyDescent="0.15">
      <c r="A700" s="79"/>
      <c r="B700" s="79"/>
      <c r="K700" s="79"/>
      <c r="L700" s="79"/>
      <c r="M700" s="79"/>
    </row>
    <row r="701" spans="1:13" x14ac:dyDescent="0.15">
      <c r="A701" s="79"/>
      <c r="B701" s="79"/>
      <c r="K701" s="79"/>
      <c r="L701" s="79"/>
      <c r="M701" s="79"/>
    </row>
    <row r="702" spans="1:13" x14ac:dyDescent="0.15">
      <c r="A702" s="79"/>
      <c r="B702" s="79"/>
      <c r="K702" s="79"/>
      <c r="L702" s="79"/>
      <c r="M702" s="79"/>
    </row>
    <row r="703" spans="1:13" x14ac:dyDescent="0.15">
      <c r="A703" s="79"/>
      <c r="B703" s="79"/>
      <c r="K703" s="79"/>
      <c r="L703" s="79"/>
      <c r="M703" s="79"/>
    </row>
    <row r="704" spans="1:13" x14ac:dyDescent="0.15">
      <c r="A704" s="79"/>
      <c r="B704" s="79"/>
      <c r="K704" s="79"/>
      <c r="L704" s="79"/>
      <c r="M704" s="79"/>
    </row>
    <row r="705" spans="1:13" x14ac:dyDescent="0.15">
      <c r="A705" s="79"/>
      <c r="B705" s="79"/>
      <c r="K705" s="79"/>
      <c r="L705" s="79"/>
      <c r="M705" s="79"/>
    </row>
    <row r="706" spans="1:13" x14ac:dyDescent="0.15">
      <c r="A706" s="79"/>
      <c r="B706" s="79"/>
      <c r="K706" s="79"/>
      <c r="L706" s="79"/>
      <c r="M706" s="79"/>
    </row>
    <row r="707" spans="1:13" x14ac:dyDescent="0.15">
      <c r="A707" s="79"/>
      <c r="B707" s="79"/>
      <c r="K707" s="79"/>
      <c r="L707" s="79"/>
      <c r="M707" s="79"/>
    </row>
    <row r="708" spans="1:13" x14ac:dyDescent="0.15">
      <c r="A708" s="79"/>
      <c r="B708" s="79"/>
      <c r="K708" s="79"/>
      <c r="L708" s="79"/>
      <c r="M708" s="79"/>
    </row>
    <row r="709" spans="1:13" x14ac:dyDescent="0.15">
      <c r="A709" s="79"/>
      <c r="B709" s="79"/>
      <c r="K709" s="79"/>
      <c r="L709" s="79"/>
      <c r="M709" s="79"/>
    </row>
    <row r="710" spans="1:13" x14ac:dyDescent="0.15">
      <c r="A710" s="79"/>
      <c r="B710" s="79"/>
      <c r="K710" s="79"/>
      <c r="L710" s="79"/>
      <c r="M710" s="79"/>
    </row>
    <row r="711" spans="1:13" x14ac:dyDescent="0.15">
      <c r="A711" s="79"/>
      <c r="B711" s="79"/>
      <c r="K711" s="79"/>
      <c r="L711" s="79"/>
      <c r="M711" s="79"/>
    </row>
    <row r="712" spans="1:13" x14ac:dyDescent="0.15">
      <c r="A712" s="79"/>
      <c r="B712" s="79"/>
      <c r="K712" s="79"/>
      <c r="L712" s="79"/>
      <c r="M712" s="79"/>
    </row>
    <row r="713" spans="1:13" x14ac:dyDescent="0.15">
      <c r="A713" s="79"/>
      <c r="B713" s="79"/>
      <c r="K713" s="79"/>
      <c r="L713" s="79"/>
      <c r="M713" s="79"/>
    </row>
    <row r="714" spans="1:13" x14ac:dyDescent="0.15">
      <c r="A714" s="79"/>
      <c r="B714" s="79"/>
      <c r="K714" s="79"/>
      <c r="L714" s="79"/>
      <c r="M714" s="79"/>
    </row>
    <row r="715" spans="1:13" x14ac:dyDescent="0.15">
      <c r="A715" s="79"/>
      <c r="B715" s="79"/>
      <c r="K715" s="79"/>
      <c r="L715" s="79"/>
      <c r="M715" s="79"/>
    </row>
    <row r="716" spans="1:13" x14ac:dyDescent="0.15">
      <c r="A716" s="79"/>
      <c r="B716" s="79"/>
      <c r="K716" s="79"/>
      <c r="L716" s="79"/>
      <c r="M716" s="79"/>
    </row>
    <row r="717" spans="1:13" x14ac:dyDescent="0.15">
      <c r="A717" s="79"/>
      <c r="B717" s="79"/>
      <c r="K717" s="79"/>
      <c r="L717" s="79"/>
      <c r="M717" s="79"/>
    </row>
    <row r="718" spans="1:13" x14ac:dyDescent="0.15">
      <c r="A718" s="79"/>
      <c r="B718" s="79"/>
      <c r="K718" s="79"/>
      <c r="L718" s="79"/>
      <c r="M718" s="79"/>
    </row>
    <row r="719" spans="1:13" x14ac:dyDescent="0.15">
      <c r="A719" s="79"/>
      <c r="B719" s="79"/>
      <c r="K719" s="79"/>
      <c r="L719" s="79"/>
      <c r="M719" s="79"/>
    </row>
    <row r="720" spans="1:13" x14ac:dyDescent="0.15">
      <c r="A720" s="79"/>
      <c r="B720" s="79"/>
      <c r="K720" s="79"/>
      <c r="L720" s="79"/>
      <c r="M720" s="79"/>
    </row>
    <row r="721" spans="1:13" x14ac:dyDescent="0.15">
      <c r="A721" s="79"/>
      <c r="B721" s="79"/>
      <c r="K721" s="79"/>
      <c r="L721" s="79"/>
      <c r="M721" s="79"/>
    </row>
    <row r="722" spans="1:13" x14ac:dyDescent="0.15">
      <c r="A722" s="79"/>
      <c r="B722" s="79"/>
      <c r="K722" s="79"/>
      <c r="L722" s="79"/>
      <c r="M722" s="79"/>
    </row>
    <row r="723" spans="1:13" x14ac:dyDescent="0.15">
      <c r="A723" s="79"/>
      <c r="B723" s="79"/>
      <c r="K723" s="79"/>
      <c r="L723" s="79"/>
      <c r="M723" s="79"/>
    </row>
    <row r="724" spans="1:13" x14ac:dyDescent="0.15">
      <c r="A724" s="79"/>
      <c r="B724" s="79"/>
      <c r="K724" s="79"/>
      <c r="L724" s="79"/>
      <c r="M724" s="79"/>
    </row>
    <row r="725" spans="1:13" x14ac:dyDescent="0.15">
      <c r="A725" s="79"/>
      <c r="B725" s="79"/>
      <c r="K725" s="79"/>
      <c r="L725" s="79"/>
      <c r="M725" s="79"/>
    </row>
    <row r="726" spans="1:13" x14ac:dyDescent="0.15">
      <c r="A726" s="79"/>
      <c r="B726" s="79"/>
      <c r="K726" s="79"/>
      <c r="L726" s="79"/>
      <c r="M726" s="79"/>
    </row>
    <row r="727" spans="1:13" x14ac:dyDescent="0.15">
      <c r="A727" s="79"/>
      <c r="B727" s="79"/>
      <c r="K727" s="79"/>
      <c r="L727" s="79"/>
      <c r="M727" s="79"/>
    </row>
    <row r="728" spans="1:13" x14ac:dyDescent="0.15">
      <c r="A728" s="79"/>
      <c r="B728" s="79"/>
      <c r="K728" s="79"/>
      <c r="L728" s="79"/>
      <c r="M728" s="79"/>
    </row>
    <row r="729" spans="1:13" x14ac:dyDescent="0.15">
      <c r="A729" s="79"/>
      <c r="B729" s="79"/>
      <c r="K729" s="79"/>
      <c r="L729" s="79"/>
      <c r="M729" s="79"/>
    </row>
    <row r="730" spans="1:13" x14ac:dyDescent="0.15">
      <c r="A730" s="79"/>
      <c r="B730" s="79"/>
      <c r="K730" s="79"/>
      <c r="L730" s="79"/>
      <c r="M730" s="79"/>
    </row>
    <row r="731" spans="1:13" x14ac:dyDescent="0.15">
      <c r="A731" s="79"/>
      <c r="B731" s="79"/>
      <c r="K731" s="79"/>
      <c r="L731" s="79"/>
      <c r="M731" s="79"/>
    </row>
    <row r="732" spans="1:13" x14ac:dyDescent="0.15">
      <c r="A732" s="79"/>
      <c r="B732" s="79"/>
      <c r="K732" s="79"/>
      <c r="L732" s="79"/>
      <c r="M732" s="79"/>
    </row>
    <row r="733" spans="1:13" x14ac:dyDescent="0.15">
      <c r="A733" s="79"/>
      <c r="B733" s="79"/>
      <c r="K733" s="79"/>
      <c r="L733" s="79"/>
      <c r="M733" s="79"/>
    </row>
    <row r="734" spans="1:13" x14ac:dyDescent="0.15">
      <c r="A734" s="79"/>
      <c r="B734" s="79"/>
      <c r="K734" s="79"/>
      <c r="L734" s="79"/>
      <c r="M734" s="79"/>
    </row>
    <row r="735" spans="1:13" x14ac:dyDescent="0.15">
      <c r="A735" s="79"/>
      <c r="B735" s="79"/>
      <c r="K735" s="79"/>
      <c r="L735" s="79"/>
      <c r="M735" s="79"/>
    </row>
    <row r="736" spans="1:13" x14ac:dyDescent="0.15">
      <c r="A736" s="79"/>
      <c r="B736" s="79"/>
      <c r="K736" s="79"/>
      <c r="L736" s="79"/>
      <c r="M736" s="79"/>
    </row>
    <row r="737" spans="1:13" x14ac:dyDescent="0.15">
      <c r="A737" s="79"/>
      <c r="B737" s="79"/>
      <c r="K737" s="79"/>
      <c r="L737" s="79"/>
      <c r="M737" s="79"/>
    </row>
    <row r="738" spans="1:13" x14ac:dyDescent="0.15">
      <c r="A738" s="79"/>
      <c r="B738" s="79"/>
      <c r="K738" s="79"/>
      <c r="L738" s="79"/>
      <c r="M738" s="79"/>
    </row>
    <row r="739" spans="1:13" x14ac:dyDescent="0.15">
      <c r="A739" s="79"/>
      <c r="B739" s="79"/>
      <c r="K739" s="79"/>
      <c r="L739" s="79"/>
      <c r="M739" s="79"/>
    </row>
    <row r="740" spans="1:13" x14ac:dyDescent="0.15">
      <c r="A740" s="79"/>
      <c r="B740" s="79"/>
      <c r="K740" s="79"/>
      <c r="L740" s="79"/>
      <c r="M740" s="79"/>
    </row>
    <row r="741" spans="1:13" x14ac:dyDescent="0.15">
      <c r="A741" s="79"/>
      <c r="B741" s="79"/>
      <c r="K741" s="79"/>
      <c r="L741" s="79"/>
      <c r="M741" s="79"/>
    </row>
    <row r="742" spans="1:13" x14ac:dyDescent="0.15">
      <c r="A742" s="79"/>
      <c r="B742" s="79"/>
      <c r="K742" s="79"/>
      <c r="L742" s="79"/>
      <c r="M742" s="79"/>
    </row>
    <row r="743" spans="1:13" x14ac:dyDescent="0.15">
      <c r="A743" s="79"/>
      <c r="B743" s="79"/>
      <c r="K743" s="79"/>
      <c r="L743" s="79"/>
      <c r="M743" s="79"/>
    </row>
    <row r="744" spans="1:13" x14ac:dyDescent="0.15">
      <c r="A744" s="79"/>
      <c r="B744" s="79"/>
      <c r="K744" s="79"/>
      <c r="L744" s="79"/>
      <c r="M744" s="79"/>
    </row>
    <row r="745" spans="1:13" x14ac:dyDescent="0.15">
      <c r="A745" s="79"/>
      <c r="B745" s="79"/>
      <c r="K745" s="79"/>
      <c r="L745" s="79"/>
      <c r="M745" s="79"/>
    </row>
    <row r="746" spans="1:13" x14ac:dyDescent="0.15">
      <c r="A746" s="79"/>
      <c r="B746" s="79"/>
      <c r="K746" s="79"/>
      <c r="L746" s="79"/>
      <c r="M746" s="79"/>
    </row>
    <row r="747" spans="1:13" x14ac:dyDescent="0.15">
      <c r="A747" s="79"/>
      <c r="B747" s="79"/>
      <c r="K747" s="79"/>
      <c r="L747" s="79"/>
      <c r="M747" s="79"/>
    </row>
    <row r="748" spans="1:13" x14ac:dyDescent="0.15">
      <c r="A748" s="79"/>
      <c r="B748" s="79"/>
      <c r="K748" s="79"/>
      <c r="L748" s="79"/>
      <c r="M748" s="79"/>
    </row>
    <row r="749" spans="1:13" x14ac:dyDescent="0.15">
      <c r="A749" s="79"/>
      <c r="B749" s="79"/>
      <c r="K749" s="79"/>
      <c r="L749" s="79"/>
      <c r="M749" s="79"/>
    </row>
    <row r="750" spans="1:13" x14ac:dyDescent="0.15">
      <c r="A750" s="79"/>
      <c r="B750" s="79"/>
      <c r="K750" s="79"/>
      <c r="L750" s="79"/>
      <c r="M750" s="79"/>
    </row>
    <row r="751" spans="1:13" x14ac:dyDescent="0.15">
      <c r="A751" s="79"/>
      <c r="B751" s="79"/>
      <c r="K751" s="79"/>
      <c r="L751" s="79"/>
      <c r="M751" s="79"/>
    </row>
    <row r="752" spans="1:13" x14ac:dyDescent="0.15">
      <c r="A752" s="79"/>
      <c r="B752" s="79"/>
      <c r="K752" s="79"/>
      <c r="L752" s="79"/>
      <c r="M752" s="79"/>
    </row>
    <row r="753" spans="1:13" x14ac:dyDescent="0.15">
      <c r="A753" s="79"/>
      <c r="B753" s="79"/>
      <c r="K753" s="79"/>
      <c r="L753" s="79"/>
      <c r="M753" s="79"/>
    </row>
    <row r="754" spans="1:13" x14ac:dyDescent="0.15">
      <c r="A754" s="79"/>
      <c r="B754" s="79"/>
      <c r="K754" s="79"/>
      <c r="L754" s="79"/>
      <c r="M754" s="79"/>
    </row>
    <row r="755" spans="1:13" x14ac:dyDescent="0.15">
      <c r="A755" s="79"/>
      <c r="B755" s="79"/>
      <c r="K755" s="79"/>
      <c r="L755" s="79"/>
      <c r="M755" s="79"/>
    </row>
    <row r="756" spans="1:13" x14ac:dyDescent="0.15">
      <c r="A756" s="79"/>
      <c r="B756" s="79"/>
      <c r="K756" s="79"/>
      <c r="L756" s="79"/>
      <c r="M756" s="79"/>
    </row>
    <row r="757" spans="1:13" x14ac:dyDescent="0.15">
      <c r="A757" s="79"/>
      <c r="B757" s="79"/>
      <c r="K757" s="79"/>
      <c r="L757" s="79"/>
      <c r="M757" s="79"/>
    </row>
    <row r="758" spans="1:13" x14ac:dyDescent="0.15">
      <c r="A758" s="79"/>
      <c r="B758" s="79"/>
      <c r="K758" s="79"/>
      <c r="L758" s="79"/>
      <c r="M758" s="79"/>
    </row>
    <row r="759" spans="1:13" x14ac:dyDescent="0.15">
      <c r="A759" s="79"/>
      <c r="B759" s="79"/>
      <c r="K759" s="79"/>
      <c r="L759" s="79"/>
      <c r="M759" s="79"/>
    </row>
    <row r="760" spans="1:13" x14ac:dyDescent="0.15">
      <c r="A760" s="79"/>
      <c r="B760" s="79"/>
      <c r="K760" s="79"/>
      <c r="L760" s="79"/>
      <c r="M760" s="79"/>
    </row>
    <row r="761" spans="1:13" x14ac:dyDescent="0.15">
      <c r="A761" s="79"/>
      <c r="B761" s="79"/>
      <c r="K761" s="79"/>
      <c r="L761" s="79"/>
      <c r="M761" s="79"/>
    </row>
    <row r="762" spans="1:13" x14ac:dyDescent="0.15">
      <c r="A762" s="79"/>
      <c r="B762" s="79"/>
      <c r="K762" s="79"/>
      <c r="L762" s="79"/>
      <c r="M762" s="79"/>
    </row>
    <row r="763" spans="1:13" x14ac:dyDescent="0.15">
      <c r="A763" s="79"/>
      <c r="B763" s="79"/>
      <c r="K763" s="79"/>
      <c r="L763" s="79"/>
      <c r="M763" s="79"/>
    </row>
    <row r="764" spans="1:13" x14ac:dyDescent="0.15">
      <c r="A764" s="79"/>
      <c r="B764" s="79"/>
      <c r="K764" s="79"/>
      <c r="L764" s="79"/>
      <c r="M764" s="79"/>
    </row>
    <row r="765" spans="1:13" x14ac:dyDescent="0.15">
      <c r="A765" s="79"/>
      <c r="B765" s="79"/>
      <c r="K765" s="79"/>
      <c r="L765" s="79"/>
      <c r="M765" s="79"/>
    </row>
    <row r="766" spans="1:13" x14ac:dyDescent="0.15">
      <c r="A766" s="79"/>
      <c r="B766" s="79"/>
      <c r="K766" s="79"/>
      <c r="L766" s="79"/>
      <c r="M766" s="79"/>
    </row>
    <row r="767" spans="1:13" x14ac:dyDescent="0.15">
      <c r="A767" s="79"/>
      <c r="B767" s="79"/>
      <c r="K767" s="79"/>
      <c r="L767" s="79"/>
      <c r="M767" s="79"/>
    </row>
    <row r="768" spans="1:13" x14ac:dyDescent="0.15">
      <c r="A768" s="79"/>
      <c r="B768" s="79"/>
      <c r="K768" s="79"/>
      <c r="L768" s="79"/>
      <c r="M768" s="79"/>
    </row>
    <row r="769" spans="1:13" x14ac:dyDescent="0.15">
      <c r="A769" s="79"/>
      <c r="B769" s="79"/>
      <c r="K769" s="79"/>
      <c r="L769" s="79"/>
      <c r="M769" s="79"/>
    </row>
    <row r="770" spans="1:13" x14ac:dyDescent="0.15">
      <c r="A770" s="79"/>
      <c r="B770" s="79"/>
      <c r="K770" s="79"/>
      <c r="L770" s="79"/>
      <c r="M770" s="79"/>
    </row>
    <row r="771" spans="1:13" x14ac:dyDescent="0.15">
      <c r="A771" s="79"/>
      <c r="B771" s="79"/>
      <c r="K771" s="79"/>
      <c r="L771" s="79"/>
      <c r="M771" s="79"/>
    </row>
    <row r="772" spans="1:13" x14ac:dyDescent="0.15">
      <c r="A772" s="79"/>
      <c r="B772" s="79"/>
      <c r="K772" s="79"/>
      <c r="L772" s="79"/>
      <c r="M772" s="79"/>
    </row>
    <row r="773" spans="1:13" x14ac:dyDescent="0.15">
      <c r="A773" s="79"/>
      <c r="B773" s="79"/>
      <c r="K773" s="79"/>
      <c r="L773" s="79"/>
      <c r="M773" s="79"/>
    </row>
    <row r="774" spans="1:13" x14ac:dyDescent="0.15">
      <c r="A774" s="79"/>
      <c r="B774" s="79"/>
      <c r="K774" s="79"/>
      <c r="L774" s="79"/>
      <c r="M774" s="79"/>
    </row>
    <row r="775" spans="1:13" x14ac:dyDescent="0.15">
      <c r="A775" s="79"/>
      <c r="B775" s="79"/>
      <c r="K775" s="79"/>
      <c r="L775" s="79"/>
      <c r="M775" s="79"/>
    </row>
    <row r="776" spans="1:13" x14ac:dyDescent="0.15">
      <c r="A776" s="79"/>
      <c r="B776" s="79"/>
      <c r="K776" s="79"/>
      <c r="L776" s="79"/>
      <c r="M776" s="79"/>
    </row>
    <row r="777" spans="1:13" x14ac:dyDescent="0.15">
      <c r="A777" s="79"/>
      <c r="B777" s="79"/>
      <c r="K777" s="79"/>
      <c r="L777" s="79"/>
      <c r="M777" s="79"/>
    </row>
    <row r="778" spans="1:13" x14ac:dyDescent="0.15">
      <c r="A778" s="79"/>
      <c r="B778" s="79"/>
      <c r="K778" s="79"/>
      <c r="L778" s="79"/>
      <c r="M778" s="79"/>
    </row>
    <row r="779" spans="1:13" x14ac:dyDescent="0.15">
      <c r="A779" s="79"/>
      <c r="B779" s="79"/>
      <c r="K779" s="79"/>
      <c r="L779" s="79"/>
      <c r="M779" s="79"/>
    </row>
    <row r="780" spans="1:13" x14ac:dyDescent="0.15">
      <c r="A780" s="79"/>
      <c r="B780" s="79"/>
      <c r="K780" s="79"/>
      <c r="L780" s="79"/>
      <c r="M780" s="79"/>
    </row>
    <row r="781" spans="1:13" x14ac:dyDescent="0.15">
      <c r="A781" s="79"/>
      <c r="B781" s="79"/>
      <c r="K781" s="79"/>
      <c r="L781" s="79"/>
      <c r="M781" s="79"/>
    </row>
    <row r="782" spans="1:13" x14ac:dyDescent="0.15">
      <c r="A782" s="79"/>
      <c r="B782" s="79"/>
      <c r="K782" s="79"/>
      <c r="L782" s="79"/>
      <c r="M782" s="79"/>
    </row>
    <row r="783" spans="1:13" x14ac:dyDescent="0.15">
      <c r="A783" s="79"/>
      <c r="B783" s="79"/>
      <c r="K783" s="79"/>
      <c r="L783" s="79"/>
      <c r="M783" s="79"/>
    </row>
    <row r="784" spans="1:13" x14ac:dyDescent="0.15">
      <c r="A784" s="79"/>
      <c r="B784" s="79"/>
      <c r="K784" s="79"/>
      <c r="L784" s="79"/>
      <c r="M784" s="79"/>
    </row>
    <row r="785" spans="1:13" x14ac:dyDescent="0.15">
      <c r="A785" s="79"/>
      <c r="B785" s="79"/>
      <c r="K785" s="79"/>
      <c r="L785" s="79"/>
      <c r="M785" s="79"/>
    </row>
    <row r="786" spans="1:13" x14ac:dyDescent="0.15">
      <c r="A786" s="79"/>
      <c r="B786" s="79"/>
      <c r="K786" s="79"/>
      <c r="L786" s="79"/>
      <c r="M786" s="79"/>
    </row>
    <row r="787" spans="1:13" x14ac:dyDescent="0.15">
      <c r="A787" s="79"/>
      <c r="B787" s="79"/>
      <c r="K787" s="79"/>
      <c r="L787" s="79"/>
      <c r="M787" s="79"/>
    </row>
    <row r="788" spans="1:13" x14ac:dyDescent="0.15">
      <c r="A788" s="79"/>
      <c r="B788" s="79"/>
      <c r="K788" s="79"/>
      <c r="L788" s="79"/>
      <c r="M788" s="79"/>
    </row>
    <row r="789" spans="1:13" x14ac:dyDescent="0.15">
      <c r="A789" s="79"/>
      <c r="B789" s="79"/>
      <c r="K789" s="79"/>
      <c r="L789" s="79"/>
      <c r="M789" s="79"/>
    </row>
    <row r="790" spans="1:13" x14ac:dyDescent="0.15">
      <c r="A790" s="79"/>
      <c r="B790" s="79"/>
      <c r="K790" s="79"/>
      <c r="L790" s="79"/>
      <c r="M790" s="79"/>
    </row>
    <row r="791" spans="1:13" x14ac:dyDescent="0.15">
      <c r="A791" s="79"/>
      <c r="B791" s="79"/>
      <c r="K791" s="79"/>
      <c r="L791" s="79"/>
      <c r="M791" s="79"/>
    </row>
    <row r="792" spans="1:13" x14ac:dyDescent="0.15">
      <c r="A792" s="79"/>
      <c r="B792" s="79"/>
      <c r="K792" s="79"/>
      <c r="L792" s="79"/>
      <c r="M792" s="79"/>
    </row>
    <row r="793" spans="1:13" x14ac:dyDescent="0.15">
      <c r="A793" s="79"/>
      <c r="B793" s="79"/>
      <c r="K793" s="79"/>
      <c r="L793" s="79"/>
      <c r="M793" s="79"/>
    </row>
    <row r="794" spans="1:13" x14ac:dyDescent="0.15">
      <c r="A794" s="79"/>
      <c r="B794" s="79"/>
      <c r="K794" s="79"/>
      <c r="L794" s="79"/>
      <c r="M794" s="79"/>
    </row>
    <row r="795" spans="1:13" x14ac:dyDescent="0.15">
      <c r="A795" s="79"/>
      <c r="B795" s="79"/>
      <c r="K795" s="79"/>
      <c r="L795" s="79"/>
      <c r="M795" s="79"/>
    </row>
    <row r="796" spans="1:13" x14ac:dyDescent="0.15">
      <c r="A796" s="79"/>
      <c r="B796" s="79"/>
      <c r="K796" s="79"/>
      <c r="L796" s="79"/>
      <c r="M796" s="79"/>
    </row>
    <row r="797" spans="1:13" x14ac:dyDescent="0.15">
      <c r="A797" s="79"/>
      <c r="B797" s="79"/>
      <c r="K797" s="79"/>
      <c r="L797" s="79"/>
      <c r="M797" s="79"/>
    </row>
    <row r="798" spans="1:13" x14ac:dyDescent="0.15">
      <c r="A798" s="79"/>
      <c r="B798" s="79"/>
      <c r="K798" s="79"/>
      <c r="L798" s="79"/>
      <c r="M798" s="79"/>
    </row>
    <row r="799" spans="1:13" x14ac:dyDescent="0.15">
      <c r="A799" s="79"/>
      <c r="B799" s="79"/>
      <c r="K799" s="79"/>
      <c r="L799" s="79"/>
      <c r="M799" s="79"/>
    </row>
    <row r="800" spans="1:13" x14ac:dyDescent="0.15">
      <c r="A800" s="79"/>
      <c r="B800" s="79"/>
      <c r="K800" s="79"/>
      <c r="L800" s="79"/>
      <c r="M800" s="79"/>
    </row>
    <row r="801" spans="1:13" x14ac:dyDescent="0.15">
      <c r="A801" s="79"/>
      <c r="B801" s="79"/>
      <c r="K801" s="79"/>
      <c r="L801" s="79"/>
      <c r="M801" s="79"/>
    </row>
    <row r="802" spans="1:13" x14ac:dyDescent="0.15">
      <c r="A802" s="79"/>
      <c r="B802" s="79"/>
      <c r="K802" s="79"/>
      <c r="L802" s="79"/>
      <c r="M802" s="79"/>
    </row>
    <row r="803" spans="1:13" x14ac:dyDescent="0.15">
      <c r="A803" s="79"/>
      <c r="B803" s="79"/>
      <c r="K803" s="79"/>
      <c r="L803" s="79"/>
      <c r="M803" s="79"/>
    </row>
    <row r="804" spans="1:13" x14ac:dyDescent="0.15">
      <c r="A804" s="79"/>
      <c r="B804" s="79"/>
      <c r="K804" s="79"/>
      <c r="L804" s="79"/>
      <c r="M804" s="79"/>
    </row>
    <row r="805" spans="1:13" x14ac:dyDescent="0.15">
      <c r="A805" s="79"/>
      <c r="B805" s="79"/>
      <c r="K805" s="79"/>
      <c r="L805" s="79"/>
      <c r="M805" s="79"/>
    </row>
    <row r="806" spans="1:13" x14ac:dyDescent="0.15">
      <c r="A806" s="79"/>
      <c r="B806" s="79"/>
      <c r="K806" s="79"/>
      <c r="L806" s="79"/>
      <c r="M806" s="79"/>
    </row>
    <row r="807" spans="1:13" x14ac:dyDescent="0.15">
      <c r="A807" s="79"/>
      <c r="B807" s="79"/>
      <c r="K807" s="79"/>
      <c r="L807" s="79"/>
      <c r="M807" s="79"/>
    </row>
    <row r="808" spans="1:13" x14ac:dyDescent="0.15">
      <c r="A808" s="79"/>
      <c r="B808" s="79"/>
      <c r="K808" s="79"/>
      <c r="L808" s="79"/>
      <c r="M808" s="79"/>
    </row>
    <row r="809" spans="1:13" x14ac:dyDescent="0.15">
      <c r="A809" s="79"/>
      <c r="B809" s="79"/>
      <c r="K809" s="79"/>
      <c r="L809" s="79"/>
      <c r="M809" s="79"/>
    </row>
    <row r="810" spans="1:13" x14ac:dyDescent="0.15">
      <c r="A810" s="79"/>
      <c r="B810" s="79"/>
      <c r="K810" s="79"/>
      <c r="L810" s="79"/>
      <c r="M810" s="79"/>
    </row>
    <row r="811" spans="1:13" x14ac:dyDescent="0.15">
      <c r="A811" s="79"/>
      <c r="B811" s="79"/>
      <c r="K811" s="79"/>
      <c r="L811" s="79"/>
      <c r="M811" s="79"/>
    </row>
    <row r="812" spans="1:13" x14ac:dyDescent="0.15">
      <c r="A812" s="79"/>
      <c r="B812" s="79"/>
      <c r="K812" s="79"/>
      <c r="L812" s="79"/>
      <c r="M812" s="79"/>
    </row>
    <row r="813" spans="1:13" x14ac:dyDescent="0.15">
      <c r="A813" s="79"/>
      <c r="B813" s="79"/>
      <c r="K813" s="79"/>
      <c r="L813" s="79"/>
      <c r="M813" s="79"/>
    </row>
    <row r="814" spans="1:13" x14ac:dyDescent="0.15">
      <c r="A814" s="79"/>
      <c r="B814" s="79"/>
      <c r="K814" s="79"/>
      <c r="L814" s="79"/>
      <c r="M814" s="79"/>
    </row>
    <row r="815" spans="1:13" x14ac:dyDescent="0.15">
      <c r="A815" s="79"/>
      <c r="B815" s="79"/>
      <c r="K815" s="79"/>
      <c r="L815" s="79"/>
      <c r="M815" s="79"/>
    </row>
    <row r="816" spans="1:13" x14ac:dyDescent="0.15">
      <c r="A816" s="79"/>
      <c r="B816" s="79"/>
      <c r="K816" s="79"/>
      <c r="L816" s="79"/>
      <c r="M816" s="79"/>
    </row>
    <row r="817" spans="1:13" x14ac:dyDescent="0.15">
      <c r="A817" s="79"/>
      <c r="B817" s="79"/>
      <c r="K817" s="79"/>
      <c r="L817" s="79"/>
      <c r="M817" s="79"/>
    </row>
    <row r="818" spans="1:13" x14ac:dyDescent="0.15">
      <c r="A818" s="79"/>
      <c r="B818" s="79"/>
      <c r="K818" s="79"/>
      <c r="L818" s="79"/>
      <c r="M818" s="79"/>
    </row>
    <row r="819" spans="1:13" x14ac:dyDescent="0.15">
      <c r="A819" s="79"/>
      <c r="B819" s="79"/>
      <c r="K819" s="79"/>
      <c r="L819" s="79"/>
      <c r="M819" s="79"/>
    </row>
    <row r="820" spans="1:13" x14ac:dyDescent="0.15">
      <c r="A820" s="79"/>
      <c r="B820" s="79"/>
      <c r="K820" s="79"/>
      <c r="L820" s="79"/>
      <c r="M820" s="79"/>
    </row>
    <row r="821" spans="1:13" x14ac:dyDescent="0.15">
      <c r="A821" s="79"/>
      <c r="B821" s="79"/>
      <c r="K821" s="79"/>
      <c r="L821" s="79"/>
      <c r="M821" s="79"/>
    </row>
    <row r="822" spans="1:13" x14ac:dyDescent="0.15">
      <c r="A822" s="79"/>
      <c r="B822" s="79"/>
      <c r="K822" s="79"/>
      <c r="L822" s="79"/>
      <c r="M822" s="79"/>
    </row>
    <row r="823" spans="1:13" x14ac:dyDescent="0.15">
      <c r="A823" s="79"/>
      <c r="B823" s="79"/>
      <c r="K823" s="79"/>
      <c r="L823" s="79"/>
      <c r="M823" s="79"/>
    </row>
    <row r="824" spans="1:13" x14ac:dyDescent="0.15">
      <c r="A824" s="79"/>
      <c r="B824" s="79"/>
      <c r="K824" s="79"/>
      <c r="L824" s="79"/>
      <c r="M824" s="79"/>
    </row>
    <row r="825" spans="1:13" x14ac:dyDescent="0.15">
      <c r="A825" s="79"/>
      <c r="B825" s="79"/>
      <c r="K825" s="79"/>
      <c r="L825" s="79"/>
      <c r="M825" s="79"/>
    </row>
    <row r="826" spans="1:13" x14ac:dyDescent="0.15">
      <c r="A826" s="79"/>
      <c r="B826" s="79"/>
      <c r="K826" s="79"/>
      <c r="L826" s="79"/>
      <c r="M826" s="79"/>
    </row>
    <row r="827" spans="1:13" x14ac:dyDescent="0.15">
      <c r="A827" s="79"/>
      <c r="B827" s="79"/>
      <c r="K827" s="79"/>
      <c r="L827" s="79"/>
      <c r="M827" s="79"/>
    </row>
    <row r="828" spans="1:13" x14ac:dyDescent="0.15">
      <c r="A828" s="79"/>
      <c r="B828" s="79"/>
      <c r="K828" s="79"/>
      <c r="L828" s="79"/>
      <c r="M828" s="79"/>
    </row>
    <row r="829" spans="1:13" x14ac:dyDescent="0.15">
      <c r="A829" s="79"/>
      <c r="B829" s="79"/>
      <c r="K829" s="79"/>
      <c r="L829" s="79"/>
      <c r="M829" s="79"/>
    </row>
    <row r="830" spans="1:13" x14ac:dyDescent="0.15">
      <c r="A830" s="79"/>
      <c r="B830" s="79"/>
      <c r="K830" s="79"/>
      <c r="L830" s="79"/>
      <c r="M830" s="79"/>
    </row>
    <row r="831" spans="1:13" x14ac:dyDescent="0.15">
      <c r="A831" s="79"/>
      <c r="B831" s="79"/>
      <c r="K831" s="79"/>
      <c r="L831" s="79"/>
      <c r="M831" s="79"/>
    </row>
    <row r="832" spans="1:13" x14ac:dyDescent="0.15">
      <c r="A832" s="79"/>
      <c r="B832" s="79"/>
      <c r="K832" s="79"/>
      <c r="L832" s="79"/>
      <c r="M832" s="79"/>
    </row>
    <row r="833" spans="1:13" x14ac:dyDescent="0.15">
      <c r="A833" s="79"/>
      <c r="B833" s="79"/>
      <c r="K833" s="79"/>
      <c r="L833" s="79"/>
      <c r="M833" s="79"/>
    </row>
    <row r="834" spans="1:13" x14ac:dyDescent="0.15">
      <c r="A834" s="79"/>
      <c r="B834" s="79"/>
      <c r="K834" s="79"/>
      <c r="L834" s="79"/>
      <c r="M834" s="79"/>
    </row>
    <row r="835" spans="1:13" x14ac:dyDescent="0.15">
      <c r="A835" s="79"/>
      <c r="B835" s="79"/>
      <c r="K835" s="79"/>
      <c r="L835" s="79"/>
      <c r="M835" s="79"/>
    </row>
    <row r="836" spans="1:13" x14ac:dyDescent="0.15">
      <c r="A836" s="79"/>
      <c r="B836" s="79"/>
      <c r="K836" s="79"/>
      <c r="L836" s="79"/>
      <c r="M836" s="79"/>
    </row>
    <row r="837" spans="1:13" x14ac:dyDescent="0.15">
      <c r="A837" s="79"/>
      <c r="B837" s="79"/>
      <c r="K837" s="79"/>
      <c r="L837" s="79"/>
      <c r="M837" s="79"/>
    </row>
    <row r="838" spans="1:13" x14ac:dyDescent="0.15">
      <c r="A838" s="79"/>
      <c r="B838" s="79"/>
      <c r="K838" s="79"/>
      <c r="L838" s="79"/>
      <c r="M838" s="79"/>
    </row>
    <row r="839" spans="1:13" x14ac:dyDescent="0.15">
      <c r="A839" s="79"/>
      <c r="B839" s="79"/>
      <c r="K839" s="79"/>
      <c r="L839" s="79"/>
      <c r="M839" s="79"/>
    </row>
    <row r="840" spans="1:13" x14ac:dyDescent="0.15">
      <c r="A840" s="79"/>
      <c r="B840" s="79"/>
      <c r="K840" s="79"/>
      <c r="L840" s="79"/>
      <c r="M840" s="79"/>
    </row>
    <row r="841" spans="1:13" x14ac:dyDescent="0.15">
      <c r="A841" s="79"/>
      <c r="B841" s="79"/>
      <c r="K841" s="79"/>
      <c r="L841" s="79"/>
      <c r="M841" s="79"/>
    </row>
    <row r="842" spans="1:13" x14ac:dyDescent="0.15">
      <c r="A842" s="79"/>
      <c r="B842" s="79"/>
      <c r="K842" s="79"/>
      <c r="L842" s="79"/>
      <c r="M842" s="79"/>
    </row>
    <row r="843" spans="1:13" x14ac:dyDescent="0.15">
      <c r="A843" s="79"/>
      <c r="B843" s="79"/>
      <c r="K843" s="79"/>
      <c r="L843" s="79"/>
      <c r="M843" s="79"/>
    </row>
    <row r="844" spans="1:13" x14ac:dyDescent="0.15">
      <c r="A844" s="79"/>
      <c r="B844" s="79"/>
      <c r="K844" s="79"/>
      <c r="L844" s="79"/>
      <c r="M844" s="79"/>
    </row>
    <row r="845" spans="1:13" x14ac:dyDescent="0.15">
      <c r="A845" s="79"/>
      <c r="B845" s="79"/>
      <c r="K845" s="79"/>
      <c r="L845" s="79"/>
      <c r="M845" s="79"/>
    </row>
    <row r="846" spans="1:13" x14ac:dyDescent="0.15">
      <c r="A846" s="79"/>
      <c r="B846" s="79"/>
      <c r="K846" s="79"/>
      <c r="L846" s="79"/>
      <c r="M846" s="79"/>
    </row>
    <row r="847" spans="1:13" x14ac:dyDescent="0.15">
      <c r="A847" s="79"/>
      <c r="B847" s="79"/>
      <c r="K847" s="79"/>
      <c r="L847" s="79"/>
      <c r="M847" s="79"/>
    </row>
    <row r="848" spans="1:13" x14ac:dyDescent="0.15">
      <c r="A848" s="79"/>
      <c r="B848" s="79"/>
      <c r="K848" s="79"/>
      <c r="L848" s="79"/>
      <c r="M848" s="79"/>
    </row>
    <row r="849" spans="1:13" x14ac:dyDescent="0.15">
      <c r="A849" s="79"/>
      <c r="B849" s="79"/>
      <c r="K849" s="79"/>
      <c r="L849" s="79"/>
      <c r="M849" s="79"/>
    </row>
    <row r="850" spans="1:13" x14ac:dyDescent="0.15">
      <c r="A850" s="79"/>
      <c r="B850" s="79"/>
      <c r="K850" s="79"/>
      <c r="L850" s="79"/>
      <c r="M850" s="79"/>
    </row>
    <row r="851" spans="1:13" x14ac:dyDescent="0.15">
      <c r="A851" s="79"/>
      <c r="B851" s="79"/>
      <c r="K851" s="79"/>
      <c r="L851" s="79"/>
      <c r="M851" s="79"/>
    </row>
    <row r="852" spans="1:13" x14ac:dyDescent="0.15">
      <c r="A852" s="79"/>
      <c r="B852" s="79"/>
      <c r="K852" s="79"/>
      <c r="L852" s="79"/>
      <c r="M852" s="79"/>
    </row>
    <row r="853" spans="1:13" x14ac:dyDescent="0.15">
      <c r="A853" s="79"/>
      <c r="B853" s="79"/>
      <c r="K853" s="79"/>
      <c r="L853" s="79"/>
      <c r="M853" s="79"/>
    </row>
    <row r="854" spans="1:13" x14ac:dyDescent="0.15">
      <c r="A854" s="79"/>
      <c r="B854" s="79"/>
      <c r="K854" s="79"/>
      <c r="L854" s="79"/>
      <c r="M854" s="79"/>
    </row>
    <row r="855" spans="1:13" x14ac:dyDescent="0.15">
      <c r="A855" s="79"/>
      <c r="B855" s="79"/>
      <c r="K855" s="79"/>
      <c r="L855" s="79"/>
      <c r="M855" s="79"/>
    </row>
    <row r="856" spans="1:13" x14ac:dyDescent="0.15">
      <c r="A856" s="79"/>
      <c r="B856" s="79"/>
      <c r="K856" s="79"/>
      <c r="L856" s="79"/>
      <c r="M856" s="79"/>
    </row>
    <row r="857" spans="1:13" x14ac:dyDescent="0.15">
      <c r="A857" s="79"/>
      <c r="B857" s="79"/>
      <c r="K857" s="79"/>
      <c r="L857" s="79"/>
      <c r="M857" s="79"/>
    </row>
    <row r="858" spans="1:13" x14ac:dyDescent="0.15">
      <c r="A858" s="79"/>
      <c r="B858" s="79"/>
      <c r="K858" s="79"/>
      <c r="L858" s="79"/>
      <c r="M858" s="79"/>
    </row>
    <row r="859" spans="1:13" x14ac:dyDescent="0.15">
      <c r="A859" s="79"/>
      <c r="B859" s="79"/>
      <c r="K859" s="79"/>
      <c r="L859" s="79"/>
      <c r="M859" s="79"/>
    </row>
    <row r="860" spans="1:13" x14ac:dyDescent="0.15">
      <c r="A860" s="79"/>
      <c r="B860" s="79"/>
      <c r="K860" s="79"/>
      <c r="L860" s="79"/>
      <c r="M860" s="79"/>
    </row>
    <row r="861" spans="1:13" x14ac:dyDescent="0.15">
      <c r="A861" s="79"/>
      <c r="B861" s="79"/>
      <c r="K861" s="79"/>
      <c r="L861" s="79"/>
      <c r="M861" s="79"/>
    </row>
    <row r="862" spans="1:13" x14ac:dyDescent="0.15">
      <c r="A862" s="79"/>
      <c r="B862" s="79"/>
      <c r="K862" s="79"/>
      <c r="L862" s="79"/>
      <c r="M862" s="79"/>
    </row>
    <row r="863" spans="1:13" x14ac:dyDescent="0.15">
      <c r="A863" s="79"/>
      <c r="B863" s="79"/>
      <c r="K863" s="79"/>
      <c r="L863" s="79"/>
      <c r="M863" s="79"/>
    </row>
    <row r="864" spans="1:13" x14ac:dyDescent="0.15">
      <c r="A864" s="79"/>
      <c r="B864" s="79"/>
      <c r="K864" s="79"/>
      <c r="L864" s="79"/>
      <c r="M864" s="79"/>
    </row>
    <row r="865" spans="1:13" x14ac:dyDescent="0.15">
      <c r="A865" s="79"/>
      <c r="B865" s="79"/>
      <c r="K865" s="79"/>
      <c r="L865" s="79"/>
      <c r="M865" s="79"/>
    </row>
    <row r="866" spans="1:13" x14ac:dyDescent="0.15">
      <c r="A866" s="79"/>
      <c r="B866" s="79"/>
      <c r="K866" s="79"/>
      <c r="L866" s="79"/>
      <c r="M866" s="79"/>
    </row>
    <row r="867" spans="1:13" x14ac:dyDescent="0.15">
      <c r="A867" s="79"/>
      <c r="B867" s="79"/>
      <c r="K867" s="79"/>
      <c r="L867" s="79"/>
      <c r="M867" s="79"/>
    </row>
    <row r="868" spans="1:13" x14ac:dyDescent="0.15">
      <c r="A868" s="79"/>
      <c r="B868" s="79"/>
      <c r="K868" s="79"/>
      <c r="L868" s="79"/>
      <c r="M868" s="79"/>
    </row>
    <row r="869" spans="1:13" x14ac:dyDescent="0.15">
      <c r="A869" s="79"/>
      <c r="B869" s="79"/>
      <c r="K869" s="79"/>
      <c r="L869" s="79"/>
      <c r="M869" s="79"/>
    </row>
    <row r="870" spans="1:13" x14ac:dyDescent="0.15">
      <c r="A870" s="79"/>
      <c r="B870" s="79"/>
      <c r="K870" s="79"/>
      <c r="L870" s="79"/>
      <c r="M870" s="79"/>
    </row>
    <row r="871" spans="1:13" x14ac:dyDescent="0.15">
      <c r="A871" s="79"/>
      <c r="B871" s="79"/>
      <c r="K871" s="79"/>
      <c r="L871" s="79"/>
      <c r="M871" s="79"/>
    </row>
    <row r="872" spans="1:13" x14ac:dyDescent="0.15">
      <c r="A872" s="79"/>
      <c r="B872" s="79"/>
      <c r="K872" s="79"/>
      <c r="L872" s="79"/>
      <c r="M872" s="79"/>
    </row>
    <row r="873" spans="1:13" x14ac:dyDescent="0.15">
      <c r="A873" s="79"/>
      <c r="B873" s="79"/>
      <c r="K873" s="79"/>
      <c r="L873" s="79"/>
      <c r="M873" s="79"/>
    </row>
    <row r="874" spans="1:13" x14ac:dyDescent="0.15">
      <c r="A874" s="79"/>
      <c r="B874" s="79"/>
      <c r="K874" s="79"/>
      <c r="L874" s="79"/>
      <c r="M874" s="79"/>
    </row>
    <row r="875" spans="1:13" x14ac:dyDescent="0.15">
      <c r="A875" s="79"/>
      <c r="B875" s="79"/>
      <c r="K875" s="79"/>
      <c r="L875" s="79"/>
      <c r="M875" s="79"/>
    </row>
    <row r="876" spans="1:13" x14ac:dyDescent="0.15">
      <c r="A876" s="79"/>
      <c r="B876" s="79"/>
      <c r="K876" s="79"/>
      <c r="L876" s="79"/>
      <c r="M876" s="79"/>
    </row>
    <row r="877" spans="1:13" x14ac:dyDescent="0.15">
      <c r="A877" s="79"/>
      <c r="B877" s="79"/>
      <c r="K877" s="79"/>
      <c r="L877" s="79"/>
      <c r="M877" s="79"/>
    </row>
    <row r="878" spans="1:13" x14ac:dyDescent="0.15">
      <c r="A878" s="79"/>
      <c r="B878" s="79"/>
      <c r="K878" s="79"/>
      <c r="L878" s="79"/>
      <c r="M878" s="79"/>
    </row>
    <row r="879" spans="1:13" x14ac:dyDescent="0.15">
      <c r="A879" s="79"/>
      <c r="B879" s="79"/>
      <c r="K879" s="79"/>
      <c r="L879" s="79"/>
      <c r="M879" s="79"/>
    </row>
    <row r="880" spans="1:13" x14ac:dyDescent="0.15">
      <c r="A880" s="79"/>
      <c r="B880" s="79"/>
      <c r="K880" s="79"/>
      <c r="L880" s="79"/>
      <c r="M880" s="79"/>
    </row>
    <row r="881" spans="1:13" x14ac:dyDescent="0.15">
      <c r="A881" s="79"/>
      <c r="B881" s="79"/>
      <c r="K881" s="79"/>
      <c r="L881" s="79"/>
      <c r="M881" s="79"/>
    </row>
    <row r="882" spans="1:13" x14ac:dyDescent="0.15">
      <c r="A882" s="79"/>
      <c r="B882" s="79"/>
      <c r="K882" s="79"/>
      <c r="L882" s="79"/>
      <c r="M882" s="79"/>
    </row>
    <row r="883" spans="1:13" x14ac:dyDescent="0.15">
      <c r="A883" s="79"/>
      <c r="B883" s="79"/>
      <c r="K883" s="79"/>
      <c r="L883" s="79"/>
      <c r="M883" s="79"/>
    </row>
    <row r="884" spans="1:13" x14ac:dyDescent="0.15">
      <c r="A884" s="79"/>
      <c r="B884" s="79"/>
      <c r="K884" s="79"/>
      <c r="L884" s="79"/>
      <c r="M884" s="79"/>
    </row>
    <row r="885" spans="1:13" x14ac:dyDescent="0.15">
      <c r="A885" s="79"/>
      <c r="B885" s="79"/>
      <c r="K885" s="79"/>
      <c r="L885" s="79"/>
      <c r="M885" s="79"/>
    </row>
    <row r="886" spans="1:13" x14ac:dyDescent="0.15">
      <c r="A886" s="79"/>
      <c r="B886" s="79"/>
      <c r="K886" s="79"/>
      <c r="L886" s="79"/>
      <c r="M886" s="79"/>
    </row>
    <row r="887" spans="1:13" x14ac:dyDescent="0.15">
      <c r="A887" s="79"/>
      <c r="B887" s="79"/>
      <c r="K887" s="79"/>
      <c r="L887" s="79"/>
      <c r="M887" s="79"/>
    </row>
    <row r="888" spans="1:13" x14ac:dyDescent="0.15">
      <c r="A888" s="79"/>
      <c r="B888" s="79"/>
      <c r="K888" s="79"/>
      <c r="L888" s="79"/>
      <c r="M888" s="79"/>
    </row>
    <row r="889" spans="1:13" x14ac:dyDescent="0.15">
      <c r="A889" s="79"/>
      <c r="B889" s="79"/>
      <c r="K889" s="79"/>
      <c r="L889" s="79"/>
      <c r="M889" s="79"/>
    </row>
    <row r="890" spans="1:13" x14ac:dyDescent="0.15">
      <c r="A890" s="79"/>
      <c r="B890" s="79"/>
      <c r="K890" s="79"/>
      <c r="L890" s="79"/>
      <c r="M890" s="79"/>
    </row>
    <row r="891" spans="1:13" x14ac:dyDescent="0.15">
      <c r="A891" s="79"/>
      <c r="B891" s="79"/>
      <c r="K891" s="79"/>
      <c r="L891" s="79"/>
      <c r="M891" s="79"/>
    </row>
    <row r="892" spans="1:13" x14ac:dyDescent="0.15">
      <c r="A892" s="79"/>
      <c r="B892" s="79"/>
      <c r="K892" s="79"/>
      <c r="L892" s="79"/>
      <c r="M892" s="79"/>
    </row>
    <row r="893" spans="1:13" x14ac:dyDescent="0.15">
      <c r="A893" s="79"/>
      <c r="B893" s="79"/>
      <c r="K893" s="79"/>
      <c r="L893" s="79"/>
      <c r="M893" s="79"/>
    </row>
    <row r="894" spans="1:13" x14ac:dyDescent="0.15">
      <c r="A894" s="79"/>
      <c r="B894" s="79"/>
      <c r="K894" s="79"/>
      <c r="L894" s="79"/>
      <c r="M894" s="79"/>
    </row>
    <row r="895" spans="1:13" x14ac:dyDescent="0.15">
      <c r="A895" s="79"/>
      <c r="B895" s="79"/>
      <c r="K895" s="79"/>
      <c r="L895" s="79"/>
      <c r="M895" s="79"/>
    </row>
    <row r="896" spans="1:13" x14ac:dyDescent="0.15">
      <c r="A896" s="79"/>
      <c r="B896" s="79"/>
      <c r="K896" s="79"/>
      <c r="L896" s="79"/>
      <c r="M896" s="79"/>
    </row>
    <row r="897" spans="1:13" x14ac:dyDescent="0.15">
      <c r="A897" s="79"/>
      <c r="B897" s="79"/>
      <c r="K897" s="79"/>
      <c r="L897" s="79"/>
      <c r="M897" s="79"/>
    </row>
    <row r="898" spans="1:13" x14ac:dyDescent="0.15">
      <c r="A898" s="79"/>
      <c r="B898" s="79"/>
      <c r="K898" s="79"/>
      <c r="L898" s="79"/>
      <c r="M898" s="79"/>
    </row>
    <row r="899" spans="1:13" x14ac:dyDescent="0.15">
      <c r="A899" s="79"/>
      <c r="B899" s="79"/>
      <c r="K899" s="79"/>
      <c r="L899" s="79"/>
      <c r="M899" s="79"/>
    </row>
    <row r="900" spans="1:13" x14ac:dyDescent="0.15">
      <c r="A900" s="79"/>
      <c r="B900" s="79"/>
      <c r="K900" s="79"/>
      <c r="L900" s="79"/>
      <c r="M900" s="79"/>
    </row>
    <row r="901" spans="1:13" x14ac:dyDescent="0.15">
      <c r="A901" s="79"/>
      <c r="B901" s="79"/>
      <c r="K901" s="79"/>
      <c r="L901" s="79"/>
      <c r="M901" s="79"/>
    </row>
    <row r="902" spans="1:13" x14ac:dyDescent="0.15">
      <c r="A902" s="79"/>
      <c r="B902" s="79"/>
      <c r="K902" s="79"/>
      <c r="L902" s="79"/>
      <c r="M902" s="79"/>
    </row>
    <row r="903" spans="1:13" x14ac:dyDescent="0.15">
      <c r="A903" s="79"/>
      <c r="B903" s="79"/>
      <c r="K903" s="79"/>
      <c r="L903" s="79"/>
      <c r="M903" s="79"/>
    </row>
    <row r="904" spans="1:13" x14ac:dyDescent="0.15">
      <c r="A904" s="79"/>
      <c r="B904" s="79"/>
      <c r="K904" s="79"/>
      <c r="L904" s="79"/>
      <c r="M904" s="79"/>
    </row>
    <row r="905" spans="1:13" x14ac:dyDescent="0.15">
      <c r="A905" s="79"/>
      <c r="B905" s="79"/>
      <c r="K905" s="79"/>
      <c r="L905" s="79"/>
      <c r="M905" s="79"/>
    </row>
    <row r="906" spans="1:13" x14ac:dyDescent="0.15">
      <c r="A906" s="79"/>
      <c r="B906" s="79"/>
      <c r="K906" s="79"/>
      <c r="L906" s="79"/>
      <c r="M906" s="79"/>
    </row>
    <row r="907" spans="1:13" x14ac:dyDescent="0.15">
      <c r="A907" s="79"/>
      <c r="B907" s="79"/>
      <c r="K907" s="79"/>
      <c r="L907" s="79"/>
      <c r="M907" s="79"/>
    </row>
    <row r="908" spans="1:13" x14ac:dyDescent="0.15">
      <c r="A908" s="79"/>
      <c r="B908" s="79"/>
      <c r="K908" s="79"/>
      <c r="L908" s="79"/>
      <c r="M908" s="79"/>
    </row>
    <row r="909" spans="1:13" x14ac:dyDescent="0.15">
      <c r="A909" s="79"/>
      <c r="B909" s="79"/>
      <c r="K909" s="79"/>
      <c r="L909" s="79"/>
      <c r="M909" s="79"/>
    </row>
    <row r="910" spans="1:13" x14ac:dyDescent="0.15">
      <c r="A910" s="79"/>
      <c r="B910" s="79"/>
      <c r="K910" s="79"/>
      <c r="L910" s="79"/>
      <c r="M910" s="79"/>
    </row>
    <row r="911" spans="1:13" x14ac:dyDescent="0.15">
      <c r="A911" s="79"/>
      <c r="B911" s="79"/>
      <c r="K911" s="79"/>
      <c r="L911" s="79"/>
      <c r="M911" s="79"/>
    </row>
    <row r="912" spans="1:13" x14ac:dyDescent="0.15">
      <c r="A912" s="79"/>
      <c r="B912" s="79"/>
      <c r="K912" s="79"/>
      <c r="L912" s="79"/>
      <c r="M912" s="79"/>
    </row>
    <row r="913" spans="1:13" x14ac:dyDescent="0.15">
      <c r="A913" s="79"/>
      <c r="B913" s="79"/>
      <c r="K913" s="79"/>
      <c r="L913" s="79"/>
      <c r="M913" s="79"/>
    </row>
    <row r="914" spans="1:13" x14ac:dyDescent="0.15">
      <c r="A914" s="79"/>
      <c r="B914" s="79"/>
      <c r="K914" s="79"/>
      <c r="L914" s="79"/>
      <c r="M914" s="79"/>
    </row>
    <row r="915" spans="1:13" x14ac:dyDescent="0.15">
      <c r="A915" s="79"/>
      <c r="B915" s="79"/>
      <c r="K915" s="79"/>
      <c r="L915" s="79"/>
      <c r="M915" s="79"/>
    </row>
    <row r="916" spans="1:13" x14ac:dyDescent="0.15">
      <c r="A916" s="79"/>
      <c r="B916" s="79"/>
      <c r="K916" s="79"/>
      <c r="L916" s="79"/>
      <c r="M916" s="79"/>
    </row>
    <row r="917" spans="1:13" x14ac:dyDescent="0.15">
      <c r="A917" s="79"/>
      <c r="B917" s="79"/>
      <c r="K917" s="79"/>
      <c r="L917" s="79"/>
      <c r="M917" s="79"/>
    </row>
    <row r="918" spans="1:13" x14ac:dyDescent="0.15">
      <c r="A918" s="79"/>
      <c r="B918" s="79"/>
      <c r="K918" s="79"/>
      <c r="L918" s="79"/>
      <c r="M918" s="79"/>
    </row>
    <row r="919" spans="1:13" x14ac:dyDescent="0.15">
      <c r="A919" s="79"/>
      <c r="B919" s="79"/>
      <c r="K919" s="79"/>
      <c r="L919" s="79"/>
      <c r="M919" s="79"/>
    </row>
    <row r="920" spans="1:13" x14ac:dyDescent="0.15">
      <c r="A920" s="79"/>
      <c r="B920" s="79"/>
      <c r="K920" s="79"/>
      <c r="L920" s="79"/>
      <c r="M920" s="79"/>
    </row>
    <row r="921" spans="1:13" x14ac:dyDescent="0.15">
      <c r="A921" s="79"/>
      <c r="B921" s="79"/>
      <c r="K921" s="79"/>
      <c r="L921" s="79"/>
      <c r="M921" s="79"/>
    </row>
    <row r="922" spans="1:13" x14ac:dyDescent="0.15">
      <c r="A922" s="79"/>
      <c r="B922" s="79"/>
      <c r="K922" s="79"/>
      <c r="L922" s="79"/>
      <c r="M922" s="79"/>
    </row>
    <row r="923" spans="1:13" x14ac:dyDescent="0.15">
      <c r="A923" s="79"/>
      <c r="B923" s="79"/>
      <c r="K923" s="79"/>
      <c r="L923" s="79"/>
      <c r="M923" s="79"/>
    </row>
    <row r="924" spans="1:13" x14ac:dyDescent="0.15">
      <c r="A924" s="79"/>
      <c r="B924" s="79"/>
      <c r="K924" s="79"/>
      <c r="L924" s="79"/>
      <c r="M924" s="79"/>
    </row>
    <row r="925" spans="1:13" x14ac:dyDescent="0.15">
      <c r="A925" s="79"/>
      <c r="B925" s="79"/>
      <c r="K925" s="79"/>
      <c r="L925" s="79"/>
      <c r="M925" s="79"/>
    </row>
    <row r="926" spans="1:13" x14ac:dyDescent="0.15">
      <c r="A926" s="79"/>
      <c r="B926" s="79"/>
      <c r="K926" s="79"/>
      <c r="L926" s="79"/>
      <c r="M926" s="79"/>
    </row>
    <row r="927" spans="1:13" x14ac:dyDescent="0.15">
      <c r="A927" s="79"/>
      <c r="B927" s="79"/>
      <c r="K927" s="79"/>
      <c r="L927" s="79"/>
      <c r="M927" s="79"/>
    </row>
    <row r="928" spans="1:13" x14ac:dyDescent="0.15">
      <c r="A928" s="79"/>
      <c r="B928" s="79"/>
      <c r="K928" s="79"/>
      <c r="L928" s="79"/>
      <c r="M928" s="79"/>
    </row>
    <row r="929" spans="1:13" x14ac:dyDescent="0.15">
      <c r="A929" s="79"/>
      <c r="B929" s="79"/>
      <c r="K929" s="79"/>
      <c r="L929" s="79"/>
      <c r="M929" s="79"/>
    </row>
    <row r="930" spans="1:13" x14ac:dyDescent="0.15">
      <c r="A930" s="79"/>
      <c r="B930" s="79"/>
      <c r="K930" s="79"/>
      <c r="L930" s="79"/>
      <c r="M930" s="79"/>
    </row>
    <row r="931" spans="1:13" x14ac:dyDescent="0.15">
      <c r="A931" s="79"/>
      <c r="B931" s="79"/>
      <c r="K931" s="79"/>
      <c r="L931" s="79"/>
      <c r="M931" s="79"/>
    </row>
    <row r="932" spans="1:13" x14ac:dyDescent="0.15">
      <c r="A932" s="79"/>
      <c r="B932" s="79"/>
      <c r="K932" s="79"/>
      <c r="L932" s="79"/>
      <c r="M932" s="79"/>
    </row>
    <row r="933" spans="1:13" x14ac:dyDescent="0.15">
      <c r="A933" s="79"/>
      <c r="B933" s="79"/>
      <c r="K933" s="79"/>
      <c r="L933" s="79"/>
      <c r="M933" s="79"/>
    </row>
    <row r="934" spans="1:13" x14ac:dyDescent="0.15">
      <c r="A934" s="79"/>
      <c r="B934" s="79"/>
      <c r="K934" s="79"/>
      <c r="L934" s="79"/>
      <c r="M934" s="79"/>
    </row>
    <row r="935" spans="1:13" x14ac:dyDescent="0.15">
      <c r="A935" s="79"/>
      <c r="B935" s="79"/>
      <c r="K935" s="79"/>
      <c r="L935" s="79"/>
      <c r="M935" s="79"/>
    </row>
    <row r="936" spans="1:13" x14ac:dyDescent="0.15">
      <c r="A936" s="79"/>
      <c r="B936" s="79"/>
      <c r="K936" s="79"/>
      <c r="L936" s="79"/>
      <c r="M936" s="79"/>
    </row>
    <row r="937" spans="1:13" x14ac:dyDescent="0.15">
      <c r="A937" s="79"/>
      <c r="B937" s="79"/>
      <c r="K937" s="79"/>
      <c r="L937" s="79"/>
      <c r="M937" s="79"/>
    </row>
    <row r="938" spans="1:13" x14ac:dyDescent="0.15">
      <c r="A938" s="79"/>
      <c r="B938" s="79"/>
      <c r="K938" s="79"/>
      <c r="L938" s="79"/>
      <c r="M938" s="79"/>
    </row>
    <row r="939" spans="1:13" x14ac:dyDescent="0.15">
      <c r="A939" s="79"/>
      <c r="B939" s="79"/>
      <c r="K939" s="79"/>
      <c r="L939" s="79"/>
      <c r="M939" s="79"/>
    </row>
    <row r="940" spans="1:13" x14ac:dyDescent="0.15">
      <c r="A940" s="79"/>
      <c r="B940" s="79"/>
      <c r="K940" s="79"/>
      <c r="L940" s="79"/>
      <c r="M940" s="79"/>
    </row>
    <row r="941" spans="1:13" x14ac:dyDescent="0.15">
      <c r="A941" s="79"/>
      <c r="B941" s="79"/>
      <c r="K941" s="79"/>
      <c r="L941" s="79"/>
      <c r="M941" s="79"/>
    </row>
    <row r="942" spans="1:13" x14ac:dyDescent="0.15">
      <c r="A942" s="79"/>
      <c r="B942" s="79"/>
      <c r="K942" s="79"/>
      <c r="L942" s="79"/>
      <c r="M942" s="79"/>
    </row>
    <row r="943" spans="1:13" x14ac:dyDescent="0.15">
      <c r="A943" s="79"/>
      <c r="B943" s="79"/>
      <c r="K943" s="79"/>
      <c r="L943" s="79"/>
      <c r="M943" s="79"/>
    </row>
    <row r="944" spans="1:13" x14ac:dyDescent="0.15">
      <c r="A944" s="79"/>
      <c r="B944" s="79"/>
      <c r="K944" s="79"/>
      <c r="L944" s="79"/>
      <c r="M944" s="79"/>
    </row>
    <row r="945" spans="1:13" x14ac:dyDescent="0.15">
      <c r="A945" s="79"/>
      <c r="B945" s="79"/>
      <c r="K945" s="79"/>
      <c r="L945" s="79"/>
      <c r="M945" s="79"/>
    </row>
    <row r="946" spans="1:13" x14ac:dyDescent="0.15">
      <c r="A946" s="79"/>
      <c r="B946" s="79"/>
      <c r="K946" s="79"/>
      <c r="L946" s="79"/>
      <c r="M946" s="79"/>
    </row>
    <row r="947" spans="1:13" x14ac:dyDescent="0.15">
      <c r="A947" s="79"/>
      <c r="B947" s="79"/>
      <c r="K947" s="79"/>
      <c r="L947" s="79"/>
      <c r="M947" s="79"/>
    </row>
    <row r="948" spans="1:13" x14ac:dyDescent="0.15">
      <c r="A948" s="79"/>
      <c r="B948" s="79"/>
      <c r="K948" s="79"/>
      <c r="L948" s="79"/>
      <c r="M948" s="79"/>
    </row>
    <row r="949" spans="1:13" x14ac:dyDescent="0.15">
      <c r="A949" s="79"/>
      <c r="B949" s="79"/>
      <c r="K949" s="79"/>
      <c r="L949" s="79"/>
      <c r="M949" s="79"/>
    </row>
    <row r="950" spans="1:13" x14ac:dyDescent="0.15">
      <c r="A950" s="79"/>
      <c r="B950" s="79"/>
      <c r="K950" s="79"/>
      <c r="L950" s="79"/>
      <c r="M950" s="79"/>
    </row>
    <row r="951" spans="1:13" x14ac:dyDescent="0.15">
      <c r="A951" s="79"/>
      <c r="B951" s="79"/>
      <c r="K951" s="79"/>
      <c r="L951" s="79"/>
      <c r="M951" s="79"/>
    </row>
    <row r="952" spans="1:13" x14ac:dyDescent="0.15">
      <c r="A952" s="79"/>
      <c r="B952" s="79"/>
      <c r="K952" s="79"/>
      <c r="L952" s="79"/>
      <c r="M952" s="79"/>
    </row>
    <row r="953" spans="1:13" x14ac:dyDescent="0.15">
      <c r="A953" s="79"/>
      <c r="B953" s="79"/>
      <c r="K953" s="79"/>
      <c r="L953" s="79"/>
      <c r="M953" s="79"/>
    </row>
    <row r="954" spans="1:13" x14ac:dyDescent="0.15">
      <c r="A954" s="79"/>
      <c r="B954" s="79"/>
      <c r="K954" s="79"/>
      <c r="L954" s="79"/>
      <c r="M954" s="79"/>
    </row>
    <row r="955" spans="1:13" x14ac:dyDescent="0.15">
      <c r="A955" s="79"/>
      <c r="B955" s="79"/>
      <c r="K955" s="79"/>
      <c r="L955" s="79"/>
      <c r="M955" s="79"/>
    </row>
    <row r="956" spans="1:13" x14ac:dyDescent="0.15">
      <c r="A956" s="79"/>
      <c r="B956" s="79"/>
      <c r="K956" s="79"/>
      <c r="L956" s="79"/>
      <c r="M956" s="79"/>
    </row>
    <row r="957" spans="1:13" x14ac:dyDescent="0.15">
      <c r="A957" s="79"/>
      <c r="B957" s="79"/>
      <c r="K957" s="79"/>
      <c r="L957" s="79"/>
      <c r="M957" s="79"/>
    </row>
    <row r="958" spans="1:13" x14ac:dyDescent="0.15">
      <c r="A958" s="79"/>
      <c r="B958" s="79"/>
      <c r="K958" s="79"/>
      <c r="L958" s="79"/>
      <c r="M958" s="79"/>
    </row>
    <row r="959" spans="1:13" x14ac:dyDescent="0.15">
      <c r="A959" s="79"/>
      <c r="B959" s="79"/>
      <c r="K959" s="79"/>
      <c r="L959" s="79"/>
      <c r="M959" s="79"/>
    </row>
    <row r="960" spans="1:13" x14ac:dyDescent="0.15">
      <c r="A960" s="79"/>
      <c r="B960" s="79"/>
      <c r="K960" s="79"/>
      <c r="L960" s="79"/>
      <c r="M960" s="79"/>
    </row>
    <row r="961" spans="1:13" x14ac:dyDescent="0.15">
      <c r="A961" s="79"/>
      <c r="B961" s="79"/>
      <c r="K961" s="79"/>
      <c r="L961" s="79"/>
      <c r="M961" s="79"/>
    </row>
    <row r="962" spans="1:13" x14ac:dyDescent="0.15">
      <c r="A962" s="79"/>
      <c r="B962" s="79"/>
      <c r="K962" s="79"/>
      <c r="L962" s="79"/>
      <c r="M962" s="79"/>
    </row>
    <row r="963" spans="1:13" x14ac:dyDescent="0.15">
      <c r="A963" s="79"/>
      <c r="B963" s="79"/>
      <c r="K963" s="79"/>
      <c r="L963" s="79"/>
      <c r="M963" s="79"/>
    </row>
    <row r="964" spans="1:13" x14ac:dyDescent="0.15">
      <c r="A964" s="79"/>
      <c r="B964" s="79"/>
      <c r="K964" s="79"/>
      <c r="L964" s="79"/>
      <c r="M964" s="79"/>
    </row>
    <row r="965" spans="1:13" x14ac:dyDescent="0.15">
      <c r="A965" s="79"/>
      <c r="B965" s="79"/>
      <c r="K965" s="79"/>
      <c r="L965" s="79"/>
      <c r="M965" s="79"/>
    </row>
    <row r="966" spans="1:13" x14ac:dyDescent="0.15">
      <c r="A966" s="79"/>
      <c r="B966" s="79"/>
      <c r="K966" s="79"/>
      <c r="L966" s="79"/>
      <c r="M966" s="79"/>
    </row>
    <row r="967" spans="1:13" x14ac:dyDescent="0.15">
      <c r="A967" s="79"/>
      <c r="B967" s="79"/>
      <c r="K967" s="79"/>
      <c r="L967" s="79"/>
      <c r="M967" s="79"/>
    </row>
    <row r="968" spans="1:13" x14ac:dyDescent="0.15">
      <c r="A968" s="79"/>
      <c r="B968" s="79"/>
      <c r="K968" s="79"/>
      <c r="L968" s="79"/>
      <c r="M968" s="79"/>
    </row>
    <row r="969" spans="1:13" x14ac:dyDescent="0.15">
      <c r="A969" s="79"/>
      <c r="B969" s="79"/>
      <c r="K969" s="79"/>
      <c r="L969" s="79"/>
      <c r="M969" s="79"/>
    </row>
    <row r="970" spans="1:13" x14ac:dyDescent="0.15">
      <c r="A970" s="79"/>
      <c r="B970" s="79"/>
      <c r="K970" s="79"/>
      <c r="L970" s="79"/>
      <c r="M970" s="79"/>
    </row>
    <row r="971" spans="1:13" x14ac:dyDescent="0.15">
      <c r="A971" s="79"/>
      <c r="B971" s="79"/>
      <c r="K971" s="79"/>
      <c r="L971" s="79"/>
      <c r="M971" s="79"/>
    </row>
    <row r="972" spans="1:13" x14ac:dyDescent="0.15">
      <c r="A972" s="79"/>
      <c r="B972" s="79"/>
      <c r="K972" s="79"/>
      <c r="L972" s="79"/>
      <c r="M972" s="79"/>
    </row>
    <row r="973" spans="1:13" x14ac:dyDescent="0.15">
      <c r="A973" s="79"/>
      <c r="B973" s="79"/>
      <c r="K973" s="79"/>
      <c r="L973" s="79"/>
      <c r="M973" s="79"/>
    </row>
    <row r="974" spans="1:13" x14ac:dyDescent="0.15">
      <c r="A974" s="79"/>
      <c r="B974" s="79"/>
      <c r="K974" s="79"/>
      <c r="L974" s="79"/>
      <c r="M974" s="79"/>
    </row>
    <row r="975" spans="1:13" x14ac:dyDescent="0.15">
      <c r="A975" s="79"/>
      <c r="B975" s="79"/>
      <c r="K975" s="79"/>
      <c r="L975" s="79"/>
      <c r="M975" s="79"/>
    </row>
    <row r="976" spans="1:13" x14ac:dyDescent="0.15">
      <c r="A976" s="79"/>
      <c r="B976" s="79"/>
      <c r="K976" s="79"/>
      <c r="L976" s="79"/>
      <c r="M976" s="79"/>
    </row>
    <row r="977" spans="1:13" x14ac:dyDescent="0.15">
      <c r="A977" s="79"/>
      <c r="B977" s="79"/>
      <c r="K977" s="79"/>
      <c r="L977" s="79"/>
      <c r="M977" s="79"/>
    </row>
    <row r="978" spans="1:13" x14ac:dyDescent="0.15">
      <c r="A978" s="79"/>
      <c r="B978" s="79"/>
      <c r="K978" s="79"/>
      <c r="L978" s="79"/>
      <c r="M978" s="79"/>
    </row>
    <row r="979" spans="1:13" x14ac:dyDescent="0.15">
      <c r="A979" s="79"/>
      <c r="B979" s="79"/>
      <c r="K979" s="79"/>
      <c r="L979" s="79"/>
      <c r="M979" s="79"/>
    </row>
    <row r="980" spans="1:13" x14ac:dyDescent="0.15">
      <c r="A980" s="79"/>
      <c r="B980" s="79"/>
      <c r="K980" s="79"/>
      <c r="L980" s="79"/>
      <c r="M980" s="79"/>
    </row>
    <row r="981" spans="1:13" x14ac:dyDescent="0.15">
      <c r="A981" s="79"/>
      <c r="B981" s="79"/>
      <c r="K981" s="79"/>
      <c r="L981" s="79"/>
      <c r="M981" s="79"/>
    </row>
    <row r="982" spans="1:13" x14ac:dyDescent="0.15">
      <c r="A982" s="79"/>
      <c r="B982" s="79"/>
      <c r="K982" s="79"/>
      <c r="L982" s="79"/>
      <c r="M982" s="79"/>
    </row>
    <row r="983" spans="1:13" x14ac:dyDescent="0.15">
      <c r="A983" s="79"/>
      <c r="B983" s="79"/>
      <c r="K983" s="79"/>
      <c r="L983" s="79"/>
      <c r="M983" s="79"/>
    </row>
    <row r="984" spans="1:13" x14ac:dyDescent="0.15">
      <c r="A984" s="79"/>
      <c r="B984" s="79"/>
      <c r="K984" s="79"/>
      <c r="L984" s="79"/>
      <c r="M984" s="79"/>
    </row>
    <row r="985" spans="1:13" x14ac:dyDescent="0.15">
      <c r="A985" s="79"/>
      <c r="B985" s="79"/>
      <c r="K985" s="79"/>
      <c r="L985" s="79"/>
      <c r="M985" s="79"/>
    </row>
    <row r="986" spans="1:13" x14ac:dyDescent="0.15">
      <c r="A986" s="79"/>
      <c r="B986" s="79"/>
      <c r="K986" s="79"/>
      <c r="L986" s="79"/>
      <c r="M986" s="79"/>
    </row>
    <row r="987" spans="1:13" x14ac:dyDescent="0.15">
      <c r="A987" s="79"/>
      <c r="B987" s="79"/>
      <c r="K987" s="79"/>
      <c r="L987" s="79"/>
      <c r="M987" s="79"/>
    </row>
    <row r="988" spans="1:13" x14ac:dyDescent="0.15">
      <c r="A988" s="79"/>
      <c r="B988" s="79"/>
      <c r="K988" s="79"/>
      <c r="L988" s="79"/>
      <c r="M988" s="79"/>
    </row>
    <row r="989" spans="1:13" x14ac:dyDescent="0.15">
      <c r="A989" s="79"/>
      <c r="B989" s="79"/>
      <c r="K989" s="79"/>
      <c r="L989" s="79"/>
      <c r="M989" s="79"/>
    </row>
    <row r="990" spans="1:13" x14ac:dyDescent="0.15">
      <c r="A990" s="79"/>
      <c r="B990" s="79"/>
      <c r="K990" s="79"/>
      <c r="L990" s="79"/>
      <c r="M990" s="79"/>
    </row>
    <row r="991" spans="1:13" x14ac:dyDescent="0.15">
      <c r="A991" s="79"/>
      <c r="B991" s="79"/>
      <c r="K991" s="79"/>
      <c r="L991" s="79"/>
      <c r="M991" s="79"/>
    </row>
    <row r="992" spans="1:13" x14ac:dyDescent="0.15">
      <c r="A992" s="79"/>
      <c r="B992" s="79"/>
      <c r="K992" s="79"/>
      <c r="L992" s="79"/>
      <c r="M992" s="79"/>
    </row>
    <row r="993" spans="1:13" x14ac:dyDescent="0.15">
      <c r="A993" s="79"/>
      <c r="B993" s="79"/>
      <c r="K993" s="79"/>
      <c r="L993" s="79"/>
      <c r="M993" s="79"/>
    </row>
    <row r="994" spans="1:13" x14ac:dyDescent="0.15">
      <c r="A994" s="79"/>
      <c r="B994" s="79"/>
      <c r="K994" s="79"/>
      <c r="L994" s="79"/>
      <c r="M994" s="79"/>
    </row>
    <row r="995" spans="1:13" x14ac:dyDescent="0.15">
      <c r="A995" s="79"/>
      <c r="B995" s="79"/>
      <c r="K995" s="79"/>
      <c r="L995" s="79"/>
      <c r="M995" s="79"/>
    </row>
    <row r="996" spans="1:13" x14ac:dyDescent="0.15">
      <c r="A996" s="79"/>
      <c r="B996" s="79"/>
      <c r="K996" s="79"/>
      <c r="L996" s="79"/>
      <c r="M996" s="79"/>
    </row>
    <row r="997" spans="1:13" x14ac:dyDescent="0.15">
      <c r="A997" s="79"/>
      <c r="B997" s="79"/>
      <c r="K997" s="79"/>
      <c r="L997" s="79"/>
      <c r="M997" s="79"/>
    </row>
    <row r="998" spans="1:13" x14ac:dyDescent="0.15">
      <c r="A998" s="79"/>
      <c r="B998" s="79"/>
      <c r="K998" s="79"/>
      <c r="L998" s="79"/>
      <c r="M998" s="79"/>
    </row>
    <row r="999" spans="1:13" x14ac:dyDescent="0.15">
      <c r="A999" s="79"/>
      <c r="B999" s="79"/>
      <c r="K999" s="79"/>
      <c r="L999" s="79"/>
      <c r="M999" s="79"/>
    </row>
    <row r="1000" spans="1:13" x14ac:dyDescent="0.15">
      <c r="A1000" s="79"/>
      <c r="B1000" s="79"/>
      <c r="K1000" s="79"/>
      <c r="L1000" s="79"/>
      <c r="M1000" s="79"/>
    </row>
    <row r="1001" spans="1:13" x14ac:dyDescent="0.15">
      <c r="A1001" s="79"/>
      <c r="B1001" s="79"/>
      <c r="K1001" s="79"/>
      <c r="L1001" s="79"/>
      <c r="M1001" s="79"/>
    </row>
    <row r="1002" spans="1:13" x14ac:dyDescent="0.15">
      <c r="A1002" s="79"/>
      <c r="B1002" s="79"/>
      <c r="K1002" s="79"/>
      <c r="L1002" s="79"/>
      <c r="M1002" s="79"/>
    </row>
    <row r="1003" spans="1:13" x14ac:dyDescent="0.15">
      <c r="A1003" s="79"/>
      <c r="B1003" s="79"/>
      <c r="K1003" s="79"/>
      <c r="L1003" s="79"/>
      <c r="M1003" s="79"/>
    </row>
    <row r="1004" spans="1:13" x14ac:dyDescent="0.15">
      <c r="A1004" s="79"/>
      <c r="B1004" s="79"/>
      <c r="K1004" s="79"/>
      <c r="L1004" s="79"/>
      <c r="M1004" s="79"/>
    </row>
    <row r="1005" spans="1:13" x14ac:dyDescent="0.15">
      <c r="A1005" s="79"/>
      <c r="B1005" s="79"/>
      <c r="K1005" s="79"/>
      <c r="L1005" s="79"/>
      <c r="M1005" s="79"/>
    </row>
    <row r="1006" spans="1:13" x14ac:dyDescent="0.15">
      <c r="A1006" s="79"/>
      <c r="B1006" s="79"/>
      <c r="K1006" s="79"/>
      <c r="L1006" s="79"/>
      <c r="M1006" s="79"/>
    </row>
    <row r="1007" spans="1:13" x14ac:dyDescent="0.15">
      <c r="A1007" s="79"/>
      <c r="B1007" s="79"/>
      <c r="K1007" s="79"/>
      <c r="L1007" s="79"/>
      <c r="M1007" s="79"/>
    </row>
    <row r="1008" spans="1:13" x14ac:dyDescent="0.15">
      <c r="A1008" s="79"/>
      <c r="B1008" s="79"/>
      <c r="K1008" s="79"/>
      <c r="L1008" s="79"/>
      <c r="M1008" s="79"/>
    </row>
    <row r="1009" spans="1:13" x14ac:dyDescent="0.15">
      <c r="A1009" s="79"/>
      <c r="B1009" s="79"/>
      <c r="K1009" s="79"/>
      <c r="L1009" s="79"/>
      <c r="M1009" s="79"/>
    </row>
    <row r="1010" spans="1:13" x14ac:dyDescent="0.15">
      <c r="A1010" s="79"/>
      <c r="B1010" s="79"/>
      <c r="K1010" s="79"/>
      <c r="L1010" s="79"/>
      <c r="M1010" s="79"/>
    </row>
    <row r="1011" spans="1:13" x14ac:dyDescent="0.15">
      <c r="A1011" s="79"/>
      <c r="B1011" s="79"/>
      <c r="K1011" s="79"/>
      <c r="L1011" s="79"/>
      <c r="M1011" s="79"/>
    </row>
    <row r="1012" spans="1:13" x14ac:dyDescent="0.15">
      <c r="A1012" s="79"/>
      <c r="B1012" s="79"/>
      <c r="K1012" s="79"/>
      <c r="L1012" s="79"/>
      <c r="M1012" s="79"/>
    </row>
    <row r="1013" spans="1:13" x14ac:dyDescent="0.15">
      <c r="A1013" s="79"/>
      <c r="B1013" s="79"/>
      <c r="K1013" s="79"/>
      <c r="L1013" s="79"/>
      <c r="M1013" s="79"/>
    </row>
    <row r="1014" spans="1:13" x14ac:dyDescent="0.15">
      <c r="A1014" s="79"/>
      <c r="B1014" s="79"/>
      <c r="K1014" s="79"/>
      <c r="L1014" s="79"/>
      <c r="M1014" s="79"/>
    </row>
    <row r="1015" spans="1:13" x14ac:dyDescent="0.15">
      <c r="A1015" s="79"/>
      <c r="B1015" s="79"/>
      <c r="K1015" s="79"/>
      <c r="L1015" s="79"/>
      <c r="M1015" s="79"/>
    </row>
    <row r="1016" spans="1:13" x14ac:dyDescent="0.15">
      <c r="A1016" s="79"/>
      <c r="B1016" s="79"/>
      <c r="K1016" s="79"/>
      <c r="L1016" s="79"/>
      <c r="M1016" s="79"/>
    </row>
    <row r="1017" spans="1:13" x14ac:dyDescent="0.15">
      <c r="A1017" s="79"/>
      <c r="B1017" s="79"/>
      <c r="K1017" s="79"/>
      <c r="L1017" s="79"/>
      <c r="M1017" s="79"/>
    </row>
    <row r="1018" spans="1:13" x14ac:dyDescent="0.15">
      <c r="A1018" s="79"/>
      <c r="B1018" s="79"/>
      <c r="K1018" s="79"/>
      <c r="L1018" s="79"/>
      <c r="M1018" s="79"/>
    </row>
    <row r="1019" spans="1:13" x14ac:dyDescent="0.15">
      <c r="A1019" s="79"/>
      <c r="B1019" s="79"/>
      <c r="K1019" s="79"/>
      <c r="L1019" s="79"/>
      <c r="M1019" s="79"/>
    </row>
    <row r="1020" spans="1:13" x14ac:dyDescent="0.15">
      <c r="A1020" s="79"/>
      <c r="B1020" s="79"/>
      <c r="K1020" s="79"/>
      <c r="L1020" s="79"/>
      <c r="M1020" s="79"/>
    </row>
    <row r="1021" spans="1:13" x14ac:dyDescent="0.15">
      <c r="A1021" s="79"/>
      <c r="B1021" s="79"/>
      <c r="K1021" s="79"/>
      <c r="L1021" s="79"/>
      <c r="M1021" s="79"/>
    </row>
    <row r="1022" spans="1:13" x14ac:dyDescent="0.15">
      <c r="A1022" s="79"/>
      <c r="B1022" s="79"/>
      <c r="K1022" s="79"/>
      <c r="L1022" s="79"/>
      <c r="M1022" s="79"/>
    </row>
    <row r="1023" spans="1:13" x14ac:dyDescent="0.15">
      <c r="A1023" s="79"/>
      <c r="B1023" s="79"/>
      <c r="K1023" s="79"/>
      <c r="L1023" s="79"/>
      <c r="M1023" s="79"/>
    </row>
    <row r="1024" spans="1:13" x14ac:dyDescent="0.15">
      <c r="A1024" s="79"/>
      <c r="B1024" s="79"/>
      <c r="K1024" s="79"/>
      <c r="L1024" s="79"/>
      <c r="M1024" s="79"/>
    </row>
    <row r="1025" spans="1:13" x14ac:dyDescent="0.15">
      <c r="A1025" s="79"/>
      <c r="B1025" s="79"/>
      <c r="K1025" s="79"/>
      <c r="L1025" s="79"/>
      <c r="M1025" s="79"/>
    </row>
    <row r="1026" spans="1:13" x14ac:dyDescent="0.15">
      <c r="A1026" s="79"/>
      <c r="B1026" s="79"/>
      <c r="K1026" s="79"/>
      <c r="L1026" s="79"/>
      <c r="M1026" s="79"/>
    </row>
    <row r="1027" spans="1:13" x14ac:dyDescent="0.15">
      <c r="A1027" s="79"/>
      <c r="B1027" s="79"/>
      <c r="K1027" s="79"/>
      <c r="L1027" s="79"/>
      <c r="M1027" s="79"/>
    </row>
    <row r="1028" spans="1:13" x14ac:dyDescent="0.15">
      <c r="A1028" s="79"/>
      <c r="B1028" s="79"/>
      <c r="K1028" s="79"/>
      <c r="L1028" s="79"/>
      <c r="M1028" s="79"/>
    </row>
    <row r="1029" spans="1:13" x14ac:dyDescent="0.15">
      <c r="A1029" s="79"/>
      <c r="B1029" s="79"/>
      <c r="K1029" s="79"/>
      <c r="L1029" s="79"/>
      <c r="M1029" s="79"/>
    </row>
    <row r="1030" spans="1:13" x14ac:dyDescent="0.15">
      <c r="A1030" s="79"/>
      <c r="B1030" s="79"/>
      <c r="K1030" s="79"/>
      <c r="L1030" s="79"/>
      <c r="M1030" s="79"/>
    </row>
    <row r="1031" spans="1:13" x14ac:dyDescent="0.15">
      <c r="A1031" s="79"/>
      <c r="B1031" s="79"/>
      <c r="K1031" s="79"/>
      <c r="L1031" s="79"/>
      <c r="M1031" s="79"/>
    </row>
    <row r="1032" spans="1:13" x14ac:dyDescent="0.15">
      <c r="A1032" s="79"/>
      <c r="B1032" s="79"/>
      <c r="K1032" s="79"/>
      <c r="L1032" s="79"/>
      <c r="M1032" s="79"/>
    </row>
    <row r="1033" spans="1:13" x14ac:dyDescent="0.15">
      <c r="A1033" s="79"/>
      <c r="B1033" s="79"/>
      <c r="K1033" s="79"/>
      <c r="L1033" s="79"/>
      <c r="M1033" s="79"/>
    </row>
    <row r="1034" spans="1:13" x14ac:dyDescent="0.15">
      <c r="A1034" s="79"/>
      <c r="B1034" s="79"/>
      <c r="K1034" s="79"/>
      <c r="L1034" s="79"/>
      <c r="M1034" s="79"/>
    </row>
    <row r="1035" spans="1:13" x14ac:dyDescent="0.15">
      <c r="A1035" s="79"/>
      <c r="B1035" s="79"/>
      <c r="K1035" s="79"/>
      <c r="L1035" s="79"/>
      <c r="M1035" s="79"/>
    </row>
    <row r="1036" spans="1:13" x14ac:dyDescent="0.15">
      <c r="A1036" s="79"/>
      <c r="B1036" s="79"/>
      <c r="K1036" s="79"/>
      <c r="L1036" s="79"/>
      <c r="M1036" s="79"/>
    </row>
    <row r="1037" spans="1:13" x14ac:dyDescent="0.15">
      <c r="A1037" s="79"/>
      <c r="B1037" s="79"/>
      <c r="K1037" s="79"/>
      <c r="L1037" s="79"/>
      <c r="M1037" s="79"/>
    </row>
    <row r="1038" spans="1:13" x14ac:dyDescent="0.15">
      <c r="A1038" s="79"/>
      <c r="B1038" s="79"/>
      <c r="K1038" s="79"/>
      <c r="L1038" s="79"/>
      <c r="M1038" s="79"/>
    </row>
    <row r="1039" spans="1:13" x14ac:dyDescent="0.15">
      <c r="A1039" s="79"/>
      <c r="B1039" s="79"/>
      <c r="K1039" s="79"/>
      <c r="L1039" s="79"/>
      <c r="M1039" s="79"/>
    </row>
    <row r="1040" spans="1:13" x14ac:dyDescent="0.15">
      <c r="A1040" s="79"/>
      <c r="B1040" s="79"/>
      <c r="K1040" s="79"/>
      <c r="L1040" s="79"/>
      <c r="M1040" s="79"/>
    </row>
    <row r="1041" spans="1:13" x14ac:dyDescent="0.15">
      <c r="A1041" s="79"/>
      <c r="B1041" s="79"/>
      <c r="K1041" s="79"/>
      <c r="L1041" s="79"/>
      <c r="M1041" s="79"/>
    </row>
    <row r="1042" spans="1:13" x14ac:dyDescent="0.15">
      <c r="A1042" s="79"/>
      <c r="B1042" s="79"/>
      <c r="K1042" s="79"/>
      <c r="L1042" s="79"/>
      <c r="M1042" s="79"/>
    </row>
    <row r="1043" spans="1:13" x14ac:dyDescent="0.15">
      <c r="A1043" s="79"/>
      <c r="B1043" s="79"/>
      <c r="K1043" s="79"/>
      <c r="L1043" s="79"/>
      <c r="M1043" s="79"/>
    </row>
    <row r="1044" spans="1:13" x14ac:dyDescent="0.15">
      <c r="A1044" s="79"/>
      <c r="B1044" s="79"/>
      <c r="K1044" s="79"/>
      <c r="L1044" s="79"/>
      <c r="M1044" s="79"/>
    </row>
    <row r="1045" spans="1:13" x14ac:dyDescent="0.15">
      <c r="A1045" s="79"/>
      <c r="B1045" s="79"/>
      <c r="K1045" s="79"/>
      <c r="L1045" s="79"/>
      <c r="M1045" s="79"/>
    </row>
    <row r="1046" spans="1:13" x14ac:dyDescent="0.15">
      <c r="A1046" s="79"/>
      <c r="B1046" s="79"/>
      <c r="K1046" s="79"/>
      <c r="L1046" s="79"/>
      <c r="M1046" s="79"/>
    </row>
    <row r="1047" spans="1:13" x14ac:dyDescent="0.15">
      <c r="A1047" s="79"/>
      <c r="B1047" s="79"/>
      <c r="K1047" s="79"/>
      <c r="L1047" s="79"/>
      <c r="M1047" s="79"/>
    </row>
    <row r="1048" spans="1:13" x14ac:dyDescent="0.15">
      <c r="A1048" s="79"/>
      <c r="B1048" s="79"/>
      <c r="K1048" s="79"/>
      <c r="L1048" s="79"/>
      <c r="M1048" s="79"/>
    </row>
    <row r="1049" spans="1:13" x14ac:dyDescent="0.15">
      <c r="A1049" s="79"/>
      <c r="B1049" s="79"/>
      <c r="K1049" s="79"/>
      <c r="L1049" s="79"/>
      <c r="M1049" s="79"/>
    </row>
    <row r="1050" spans="1:13" x14ac:dyDescent="0.15">
      <c r="A1050" s="79"/>
      <c r="B1050" s="79"/>
      <c r="K1050" s="79"/>
      <c r="L1050" s="79"/>
      <c r="M1050" s="79"/>
    </row>
    <row r="1051" spans="1:13" x14ac:dyDescent="0.15">
      <c r="A1051" s="79"/>
      <c r="B1051" s="79"/>
      <c r="K1051" s="79"/>
      <c r="L1051" s="79"/>
      <c r="M1051" s="79"/>
    </row>
    <row r="1052" spans="1:13" x14ac:dyDescent="0.15">
      <c r="A1052" s="79"/>
      <c r="B1052" s="79"/>
      <c r="K1052" s="79"/>
      <c r="L1052" s="79"/>
      <c r="M1052" s="79"/>
    </row>
    <row r="1053" spans="1:13" x14ac:dyDescent="0.15">
      <c r="A1053" s="79"/>
      <c r="B1053" s="79"/>
      <c r="K1053" s="79"/>
      <c r="L1053" s="79"/>
      <c r="M1053" s="79"/>
    </row>
    <row r="1054" spans="1:13" x14ac:dyDescent="0.15">
      <c r="A1054" s="79"/>
      <c r="B1054" s="79"/>
      <c r="K1054" s="79"/>
      <c r="L1054" s="79"/>
      <c r="M1054" s="79"/>
    </row>
    <row r="1055" spans="1:13" x14ac:dyDescent="0.15">
      <c r="A1055" s="79"/>
      <c r="B1055" s="79"/>
      <c r="K1055" s="79"/>
      <c r="L1055" s="79"/>
      <c r="M1055" s="79"/>
    </row>
    <row r="1056" spans="1:13" x14ac:dyDescent="0.15">
      <c r="A1056" s="79"/>
      <c r="B1056" s="79"/>
      <c r="K1056" s="79"/>
      <c r="L1056" s="79"/>
      <c r="M1056" s="79"/>
    </row>
    <row r="1057" spans="1:13" x14ac:dyDescent="0.15">
      <c r="A1057" s="79"/>
      <c r="B1057" s="79"/>
      <c r="K1057" s="79"/>
      <c r="L1057" s="79"/>
      <c r="M1057" s="79"/>
    </row>
    <row r="1058" spans="1:13" x14ac:dyDescent="0.15">
      <c r="A1058" s="79"/>
      <c r="B1058" s="79"/>
      <c r="K1058" s="79"/>
      <c r="L1058" s="79"/>
      <c r="M1058" s="79"/>
    </row>
    <row r="1059" spans="1:13" x14ac:dyDescent="0.15">
      <c r="A1059" s="79"/>
      <c r="B1059" s="79"/>
      <c r="K1059" s="79"/>
      <c r="L1059" s="79"/>
      <c r="M1059" s="79"/>
    </row>
    <row r="1060" spans="1:13" x14ac:dyDescent="0.15">
      <c r="A1060" s="79"/>
      <c r="B1060" s="79"/>
      <c r="K1060" s="79"/>
      <c r="L1060" s="79"/>
      <c r="M1060" s="79"/>
    </row>
    <row r="1061" spans="1:13" x14ac:dyDescent="0.15">
      <c r="A1061" s="79"/>
      <c r="B1061" s="79"/>
      <c r="K1061" s="79"/>
      <c r="L1061" s="79"/>
      <c r="M1061" s="79"/>
    </row>
    <row r="1062" spans="1:13" x14ac:dyDescent="0.15">
      <c r="A1062" s="79"/>
      <c r="B1062" s="79"/>
      <c r="K1062" s="79"/>
      <c r="L1062" s="79"/>
      <c r="M1062" s="79"/>
    </row>
    <row r="1063" spans="1:13" x14ac:dyDescent="0.15">
      <c r="A1063" s="79"/>
      <c r="B1063" s="79"/>
      <c r="K1063" s="79"/>
      <c r="L1063" s="79"/>
      <c r="M1063" s="79"/>
    </row>
    <row r="1064" spans="1:13" x14ac:dyDescent="0.15">
      <c r="A1064" s="79"/>
      <c r="B1064" s="79"/>
      <c r="K1064" s="79"/>
      <c r="L1064" s="79"/>
      <c r="M1064" s="79"/>
    </row>
    <row r="1065" spans="1:13" x14ac:dyDescent="0.15">
      <c r="A1065" s="79"/>
      <c r="B1065" s="79"/>
      <c r="K1065" s="79"/>
      <c r="L1065" s="79"/>
      <c r="M1065" s="79"/>
    </row>
    <row r="1066" spans="1:13" x14ac:dyDescent="0.15">
      <c r="A1066" s="79"/>
      <c r="B1066" s="79"/>
      <c r="K1066" s="79"/>
      <c r="L1066" s="79"/>
      <c r="M1066" s="79"/>
    </row>
    <row r="1067" spans="1:13" x14ac:dyDescent="0.15">
      <c r="A1067" s="79"/>
      <c r="B1067" s="79"/>
      <c r="K1067" s="79"/>
      <c r="L1067" s="79"/>
      <c r="M1067" s="79"/>
    </row>
    <row r="1068" spans="1:13" x14ac:dyDescent="0.15">
      <c r="A1068" s="79"/>
      <c r="B1068" s="79"/>
      <c r="K1068" s="79"/>
      <c r="L1068" s="79"/>
      <c r="M1068" s="79"/>
    </row>
    <row r="1069" spans="1:13" x14ac:dyDescent="0.15">
      <c r="A1069" s="79"/>
      <c r="B1069" s="79"/>
      <c r="K1069" s="79"/>
      <c r="L1069" s="79"/>
      <c r="M1069" s="79"/>
    </row>
    <row r="1070" spans="1:13" x14ac:dyDescent="0.15">
      <c r="A1070" s="79"/>
      <c r="B1070" s="79"/>
      <c r="K1070" s="79"/>
      <c r="L1070" s="79"/>
      <c r="M1070" s="79"/>
    </row>
    <row r="1071" spans="1:13" x14ac:dyDescent="0.15">
      <c r="A1071" s="79"/>
      <c r="B1071" s="79"/>
      <c r="K1071" s="79"/>
      <c r="L1071" s="79"/>
      <c r="M1071" s="79"/>
    </row>
    <row r="1072" spans="1:13" x14ac:dyDescent="0.15">
      <c r="A1072" s="79"/>
      <c r="B1072" s="79"/>
      <c r="K1072" s="79"/>
      <c r="L1072" s="79"/>
      <c r="M1072" s="79"/>
    </row>
    <row r="1073" spans="1:13" x14ac:dyDescent="0.15">
      <c r="A1073" s="79"/>
      <c r="B1073" s="79"/>
      <c r="K1073" s="79"/>
      <c r="L1073" s="79"/>
      <c r="M1073" s="79"/>
    </row>
    <row r="1074" spans="1:13" x14ac:dyDescent="0.15">
      <c r="A1074" s="79"/>
      <c r="B1074" s="79"/>
      <c r="K1074" s="79"/>
      <c r="L1074" s="79"/>
      <c r="M1074" s="79"/>
    </row>
    <row r="1075" spans="1:13" x14ac:dyDescent="0.15">
      <c r="A1075" s="79"/>
      <c r="B1075" s="79"/>
      <c r="K1075" s="79"/>
      <c r="L1075" s="79"/>
      <c r="M1075" s="79"/>
    </row>
    <row r="1076" spans="1:13" x14ac:dyDescent="0.15">
      <c r="A1076" s="79"/>
      <c r="B1076" s="79"/>
      <c r="K1076" s="79"/>
      <c r="L1076" s="79"/>
      <c r="M1076" s="79"/>
    </row>
    <row r="1077" spans="1:13" x14ac:dyDescent="0.15">
      <c r="A1077" s="79"/>
      <c r="B1077" s="79"/>
      <c r="K1077" s="79"/>
      <c r="L1077" s="79"/>
      <c r="M1077" s="79"/>
    </row>
    <row r="1078" spans="1:13" x14ac:dyDescent="0.15">
      <c r="A1078" s="79"/>
      <c r="B1078" s="79"/>
      <c r="K1078" s="79"/>
      <c r="L1078" s="79"/>
      <c r="M1078" s="79"/>
    </row>
    <row r="1079" spans="1:13" x14ac:dyDescent="0.15">
      <c r="A1079" s="79"/>
      <c r="B1079" s="79"/>
      <c r="K1079" s="79"/>
      <c r="L1079" s="79"/>
      <c r="M1079" s="79"/>
    </row>
    <row r="1080" spans="1:13" x14ac:dyDescent="0.15">
      <c r="A1080" s="79"/>
      <c r="B1080" s="79"/>
      <c r="K1080" s="79"/>
      <c r="L1080" s="79"/>
      <c r="M1080" s="79"/>
    </row>
    <row r="1081" spans="1:13" x14ac:dyDescent="0.15">
      <c r="A1081" s="79"/>
      <c r="B1081" s="79"/>
      <c r="K1081" s="79"/>
      <c r="L1081" s="79"/>
      <c r="M1081" s="79"/>
    </row>
    <row r="1082" spans="1:13" x14ac:dyDescent="0.15">
      <c r="A1082" s="79"/>
      <c r="B1082" s="79"/>
      <c r="K1082" s="79"/>
      <c r="L1082" s="79"/>
      <c r="M1082" s="79"/>
    </row>
    <row r="1083" spans="1:13" x14ac:dyDescent="0.15">
      <c r="A1083" s="79"/>
      <c r="B1083" s="79"/>
      <c r="K1083" s="79"/>
      <c r="L1083" s="79"/>
      <c r="M1083" s="79"/>
    </row>
    <row r="1084" spans="1:13" x14ac:dyDescent="0.15">
      <c r="A1084" s="79"/>
      <c r="B1084" s="79"/>
      <c r="K1084" s="79"/>
      <c r="L1084" s="79"/>
      <c r="M1084" s="79"/>
    </row>
    <row r="1085" spans="1:13" x14ac:dyDescent="0.15">
      <c r="A1085" s="79"/>
      <c r="B1085" s="79"/>
      <c r="K1085" s="79"/>
      <c r="L1085" s="79"/>
      <c r="M1085" s="79"/>
    </row>
    <row r="1086" spans="1:13" x14ac:dyDescent="0.15">
      <c r="A1086" s="79"/>
      <c r="B1086" s="79"/>
      <c r="K1086" s="79"/>
      <c r="L1086" s="79"/>
      <c r="M1086" s="79"/>
    </row>
  </sheetData>
  <phoneticPr fontId="37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outlinePr summaryBelow="0"/>
  </sheetPr>
  <dimension ref="A1:S65"/>
  <sheetViews>
    <sheetView showGridLines="0" zoomScale="85" zoomScaleNormal="85" workbookViewId="0">
      <pane xSplit="3" ySplit="6" topLeftCell="D43" activePane="bottomRight" state="frozen"/>
      <selection pane="topRight"/>
      <selection pane="bottomLeft"/>
      <selection pane="bottomRight" activeCell="R56" sqref="R56"/>
    </sheetView>
  </sheetViews>
  <sheetFormatPr defaultColWidth="9" defaultRowHeight="16.5" x14ac:dyDescent="0.15"/>
  <cols>
    <col min="1" max="1" width="4.875" style="17" customWidth="1"/>
    <col min="2" max="2" width="0.875" style="17" customWidth="1"/>
    <col min="3" max="3" width="37.875" style="16" customWidth="1"/>
    <col min="4" max="12" width="15.625" style="17" customWidth="1"/>
    <col min="13" max="13" width="0.5" style="17" hidden="1" customWidth="1"/>
    <col min="14" max="16" width="15.625" style="17" hidden="1" customWidth="1"/>
    <col min="17" max="17" width="0.875" style="17" customWidth="1"/>
    <col min="18" max="19" width="13.25" style="17" customWidth="1"/>
    <col min="20" max="16384" width="9" style="17"/>
  </cols>
  <sheetData>
    <row r="1" spans="1:17" s="177" customFormat="1" ht="12" customHeight="1" x14ac:dyDescent="0.15">
      <c r="C1" s="218"/>
    </row>
    <row r="2" spans="1:17" s="222" customFormat="1" ht="12" customHeight="1" x14ac:dyDescent="0.15">
      <c r="C2" s="223"/>
      <c r="O2" s="224"/>
      <c r="P2" s="224"/>
    </row>
    <row r="3" spans="1:17" s="222" customFormat="1" ht="12" customHeight="1" x14ac:dyDescent="0.15">
      <c r="C3" s="225"/>
      <c r="D3" s="226"/>
      <c r="E3" s="226"/>
      <c r="F3" s="226"/>
      <c r="G3" s="226"/>
      <c r="H3" s="227"/>
      <c r="I3" s="227"/>
      <c r="J3" s="227"/>
      <c r="K3" s="227"/>
      <c r="L3" s="187"/>
      <c r="M3" s="227"/>
      <c r="N3" s="226"/>
      <c r="O3" s="226"/>
      <c r="P3" s="226"/>
      <c r="Q3" s="227"/>
    </row>
    <row r="4" spans="1:17" s="78" customFormat="1" ht="23.1" customHeight="1" x14ac:dyDescent="0.15">
      <c r="C4" s="80"/>
      <c r="D4" s="81"/>
      <c r="E4" s="81"/>
      <c r="F4" s="81"/>
      <c r="G4" s="81"/>
      <c r="H4" s="92"/>
      <c r="I4" s="92"/>
      <c r="J4" s="92"/>
      <c r="K4" s="92"/>
      <c r="L4" s="92"/>
      <c r="M4" s="92"/>
      <c r="N4" s="81"/>
      <c r="O4" s="81"/>
      <c r="P4" s="81"/>
      <c r="Q4" s="92"/>
    </row>
    <row r="5" spans="1:17" s="78" customFormat="1" ht="6" customHeight="1" x14ac:dyDescent="0.15">
      <c r="B5" s="222"/>
      <c r="C5" s="225"/>
      <c r="D5" s="226"/>
      <c r="E5" s="226"/>
      <c r="F5" s="226"/>
      <c r="G5" s="226"/>
      <c r="H5" s="227"/>
      <c r="I5" s="227"/>
      <c r="J5" s="227"/>
      <c r="K5" s="227"/>
      <c r="L5" s="227"/>
      <c r="M5" s="227"/>
      <c r="N5" s="226"/>
      <c r="O5" s="226"/>
      <c r="P5" s="226"/>
      <c r="Q5" s="227"/>
    </row>
    <row r="6" spans="1:17" s="79" customFormat="1" ht="24.95" customHeight="1" x14ac:dyDescent="0.15">
      <c r="B6" s="177"/>
      <c r="C6" s="228" t="s">
        <v>419</v>
      </c>
      <c r="D6" s="327">
        <v>2015</v>
      </c>
      <c r="E6" s="327">
        <v>2016</v>
      </c>
      <c r="F6" s="327">
        <v>2017</v>
      </c>
      <c r="G6" s="327">
        <v>2018</v>
      </c>
      <c r="H6" s="328" t="s">
        <v>23</v>
      </c>
      <c r="I6" s="328" t="s">
        <v>24</v>
      </c>
      <c r="J6" s="328" t="s">
        <v>25</v>
      </c>
      <c r="K6" s="328" t="s">
        <v>26</v>
      </c>
      <c r="L6" s="328" t="s">
        <v>27</v>
      </c>
      <c r="M6" s="54"/>
      <c r="N6" s="64" t="s">
        <v>114</v>
      </c>
      <c r="O6" s="64" t="s">
        <v>115</v>
      </c>
      <c r="P6" s="64" t="s">
        <v>116</v>
      </c>
      <c r="Q6" s="177"/>
    </row>
    <row r="7" spans="1:17" ht="24.95" customHeight="1" x14ac:dyDescent="0.15">
      <c r="B7" s="177"/>
      <c r="C7" s="82" t="s">
        <v>117</v>
      </c>
      <c r="D7" s="83"/>
      <c r="E7" s="84"/>
      <c r="F7" s="84"/>
      <c r="G7" s="84"/>
      <c r="H7" s="84"/>
      <c r="I7" s="84"/>
      <c r="J7" s="84"/>
      <c r="K7" s="84"/>
      <c r="L7" s="84"/>
      <c r="M7" s="93"/>
      <c r="N7" s="83"/>
      <c r="O7" s="83"/>
      <c r="P7" s="83"/>
      <c r="Q7" s="210"/>
    </row>
    <row r="8" spans="1:17" ht="24.95" customHeight="1" x14ac:dyDescent="0.15">
      <c r="B8" s="177"/>
      <c r="C8" s="119" t="s">
        <v>59</v>
      </c>
      <c r="D8" s="83">
        <f>资产负债表!B5</f>
        <v>1222556</v>
      </c>
      <c r="E8" s="83">
        <f>资产负债表!C5</f>
        <v>1492848</v>
      </c>
      <c r="F8" s="83">
        <f>资产负债表!D5</f>
        <v>2274131</v>
      </c>
      <c r="G8" s="83">
        <f>资产负债表!E5</f>
        <v>6208657</v>
      </c>
      <c r="H8" s="83">
        <f>SUM(H9:H21)</f>
        <v>8696245.3791116271</v>
      </c>
      <c r="I8" s="83">
        <f t="shared" ref="I8:L8" si="0">SUM(I9:I21)</f>
        <v>9692501.3744925559</v>
      </c>
      <c r="J8" s="83">
        <f t="shared" si="0"/>
        <v>9578718.647396937</v>
      </c>
      <c r="K8" s="83">
        <f t="shared" si="0"/>
        <v>8947431.702322349</v>
      </c>
      <c r="L8" s="83">
        <f t="shared" si="0"/>
        <v>8019090.9815918952</v>
      </c>
      <c r="M8" s="90"/>
      <c r="N8" s="67"/>
      <c r="O8" s="67"/>
      <c r="P8" s="67"/>
      <c r="Q8" s="210"/>
    </row>
    <row r="9" spans="1:17" ht="24.95" customHeight="1" x14ac:dyDescent="0.15">
      <c r="A9" s="357"/>
      <c r="B9" s="177"/>
      <c r="C9" s="85" t="s">
        <v>275</v>
      </c>
      <c r="D9" s="67">
        <f>资产负债表!B6</f>
        <v>796628</v>
      </c>
      <c r="E9" s="67">
        <f>资产负债表!C6</f>
        <v>943041</v>
      </c>
      <c r="F9" s="67">
        <f>资产负债表!D6</f>
        <v>2085428</v>
      </c>
      <c r="G9" s="67">
        <f>资产负债表!E6</f>
        <v>3999803</v>
      </c>
      <c r="H9" s="67">
        <f>资本开支假设!G22</f>
        <v>5842115.1914630011</v>
      </c>
      <c r="I9" s="67">
        <f>资本开支假设!H22</f>
        <v>6411356.9956382513</v>
      </c>
      <c r="J9" s="67">
        <f>资本开支假设!I22</f>
        <v>6074438.3690994792</v>
      </c>
      <c r="K9" s="67">
        <f>资本开支假设!J22</f>
        <v>5421963.7746771025</v>
      </c>
      <c r="L9" s="67">
        <f>资本开支假设!K22</f>
        <v>4547692.8350364445</v>
      </c>
      <c r="M9" s="90"/>
      <c r="N9" s="67"/>
      <c r="O9" s="67"/>
      <c r="P9" s="67"/>
      <c r="Q9" s="210"/>
    </row>
    <row r="10" spans="1:17" ht="24.95" customHeight="1" x14ac:dyDescent="0.15">
      <c r="A10" s="361"/>
      <c r="B10" s="177"/>
      <c r="C10" s="85" t="s">
        <v>276</v>
      </c>
      <c r="D10" s="67">
        <f>资产负债表!B7</f>
        <v>0</v>
      </c>
      <c r="E10" s="67">
        <f>资产负债表!C7</f>
        <v>0</v>
      </c>
      <c r="F10" s="67">
        <f>资产负债表!D7</f>
        <v>0</v>
      </c>
      <c r="G10" s="67">
        <f>资产负债表!E7</f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0"/>
      <c r="N10" s="67"/>
      <c r="O10" s="67"/>
      <c r="P10" s="67"/>
      <c r="Q10" s="210"/>
    </row>
    <row r="11" spans="1:17" ht="24.95" customHeight="1" x14ac:dyDescent="0.15">
      <c r="A11" s="361"/>
      <c r="B11" s="177"/>
      <c r="C11" s="85" t="s">
        <v>277</v>
      </c>
      <c r="D11" s="67">
        <f>资产负债表!B8</f>
        <v>19219</v>
      </c>
      <c r="E11" s="67">
        <f>资产负债表!C8</f>
        <v>14954</v>
      </c>
      <c r="F11" s="67">
        <f>资产负债表!D8</f>
        <v>10619</v>
      </c>
      <c r="G11" s="67">
        <f>资产负债表!E8</f>
        <v>51816</v>
      </c>
      <c r="H11" s="67">
        <f>资本开支假设!G35</f>
        <v>487176.02390755469</v>
      </c>
      <c r="I11" s="67">
        <f>资本开支假设!H35</f>
        <v>806356.63463822939</v>
      </c>
      <c r="J11" s="67">
        <f>资本开支假设!I35</f>
        <v>890632.08320554532</v>
      </c>
      <c r="K11" s="67">
        <f>资本开支假设!J35</f>
        <v>802688.74960233772</v>
      </c>
      <c r="L11" s="67">
        <f>资本开支假设!K35</f>
        <v>738213.81991719129</v>
      </c>
      <c r="M11" s="90"/>
      <c r="N11" s="67"/>
      <c r="O11" s="67"/>
      <c r="P11" s="67"/>
      <c r="Q11" s="210"/>
    </row>
    <row r="12" spans="1:17" ht="24.95" customHeight="1" x14ac:dyDescent="0.15">
      <c r="A12" s="79"/>
      <c r="B12" s="177"/>
      <c r="C12" s="85" t="s">
        <v>450</v>
      </c>
      <c r="D12" s="67">
        <f>资产负债表!B9</f>
        <v>0</v>
      </c>
      <c r="E12" s="67">
        <f>资产负债表!C9</f>
        <v>0</v>
      </c>
      <c r="F12" s="67">
        <f>资产负债表!D9</f>
        <v>0</v>
      </c>
      <c r="G12" s="67">
        <f>资产负债表!E9</f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0"/>
      <c r="N12" s="67"/>
      <c r="O12" s="67"/>
      <c r="P12" s="67"/>
      <c r="Q12" s="210"/>
    </row>
    <row r="13" spans="1:17" ht="24.95" customHeight="1" x14ac:dyDescent="0.15">
      <c r="A13" s="354"/>
      <c r="B13" s="177"/>
      <c r="C13" s="85" t="s">
        <v>279</v>
      </c>
      <c r="D13" s="67">
        <f>资产负债表!B10</f>
        <v>0</v>
      </c>
      <c r="E13" s="67">
        <f>资产负债表!C10</f>
        <v>0</v>
      </c>
      <c r="F13" s="67">
        <f>资产负债表!D10</f>
        <v>4482</v>
      </c>
      <c r="G13" s="67">
        <f>资产负债表!E10</f>
        <v>34531</v>
      </c>
      <c r="H13" s="94">
        <f>G13*(1+IS!H8-10%)</f>
        <v>51533.895965915799</v>
      </c>
      <c r="I13" s="94">
        <f>H13*(1+IS!I8-10%)</f>
        <v>56557.84473420836</v>
      </c>
      <c r="J13" s="94">
        <f>I13*(1+IS!J8-10%)</f>
        <v>62938.112017128733</v>
      </c>
      <c r="K13" s="94">
        <f>J13*(1+IS!K8-10%)</f>
        <v>65509.025243307187</v>
      </c>
      <c r="L13" s="94">
        <f>K13*(1+IS!L8-10%)</f>
        <v>60095.944177116544</v>
      </c>
      <c r="M13" s="90"/>
      <c r="N13" s="67"/>
      <c r="O13" s="67"/>
      <c r="P13" s="67"/>
      <c r="Q13" s="210"/>
    </row>
    <row r="14" spans="1:17" ht="24.95" customHeight="1" x14ac:dyDescent="0.15">
      <c r="A14" s="340"/>
      <c r="B14" s="177"/>
      <c r="C14" s="85" t="s">
        <v>434</v>
      </c>
      <c r="D14" s="67">
        <f>资产负债表!B11</f>
        <v>305319</v>
      </c>
      <c r="E14" s="67">
        <f>资产负债表!C11</f>
        <v>410518</v>
      </c>
      <c r="F14" s="67">
        <f>资产负债表!D11</f>
        <v>0</v>
      </c>
      <c r="G14" s="67">
        <f>资产负债表!E11</f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0"/>
      <c r="N14" s="67"/>
      <c r="O14" s="67"/>
      <c r="P14" s="67"/>
      <c r="Q14" s="210"/>
    </row>
    <row r="15" spans="1:17" ht="24.95" customHeight="1" x14ac:dyDescent="0.15">
      <c r="A15" s="354"/>
      <c r="B15" s="177"/>
      <c r="C15" s="85" t="s">
        <v>281</v>
      </c>
      <c r="D15" s="67">
        <f>资产负债表!B12</f>
        <v>0</v>
      </c>
      <c r="E15" s="67">
        <f>资产负债表!C12</f>
        <v>0</v>
      </c>
      <c r="F15" s="67">
        <f>资产负债表!D12</f>
        <v>0</v>
      </c>
      <c r="G15" s="67">
        <f>资产负债表!E12</f>
        <v>65331</v>
      </c>
      <c r="H15" s="94">
        <f>G15</f>
        <v>65331</v>
      </c>
      <c r="I15" s="94">
        <f t="shared" ref="I15:L15" si="1">H15</f>
        <v>65331</v>
      </c>
      <c r="J15" s="94">
        <f t="shared" si="1"/>
        <v>65331</v>
      </c>
      <c r="K15" s="94">
        <f t="shared" si="1"/>
        <v>65331</v>
      </c>
      <c r="L15" s="94">
        <f t="shared" si="1"/>
        <v>65331</v>
      </c>
      <c r="M15" s="90"/>
      <c r="N15" s="67"/>
      <c r="O15" s="67"/>
      <c r="P15" s="67"/>
      <c r="Q15" s="210"/>
    </row>
    <row r="16" spans="1:17" ht="24.95" customHeight="1" x14ac:dyDescent="0.15">
      <c r="A16" s="340"/>
      <c r="B16" s="177"/>
      <c r="C16" s="85" t="s">
        <v>282</v>
      </c>
      <c r="D16" s="67">
        <f>资产负债表!B13</f>
        <v>42177</v>
      </c>
      <c r="E16" s="67">
        <f>资产负债表!C13</f>
        <v>49000</v>
      </c>
      <c r="F16" s="67">
        <f>资产负债表!D13</f>
        <v>52754</v>
      </c>
      <c r="G16" s="67">
        <f>资产负债表!E13</f>
        <v>91626</v>
      </c>
      <c r="H16" s="94">
        <f>G16*(1+IS!H8)</f>
        <v>145904.79546995458</v>
      </c>
      <c r="I16" s="94">
        <f>H16*(1+IS!I8)</f>
        <v>174719.27659397171</v>
      </c>
      <c r="J16" s="94">
        <f>I16*(1+IS!J8)</f>
        <v>211901.21423318316</v>
      </c>
      <c r="K16" s="94">
        <f>J16*(1+IS!K8)</f>
        <v>241747.13445401072</v>
      </c>
      <c r="L16" s="94">
        <f>K16*(1+IS!L8)</f>
        <v>245946.02271412491</v>
      </c>
      <c r="M16" s="90"/>
      <c r="N16" s="67"/>
      <c r="O16" s="67"/>
      <c r="P16" s="67"/>
      <c r="Q16" s="210"/>
    </row>
    <row r="17" spans="1:17" ht="24.95" customHeight="1" x14ac:dyDescent="0.15">
      <c r="A17" s="363"/>
      <c r="B17" s="177"/>
      <c r="C17" s="85" t="s">
        <v>420</v>
      </c>
      <c r="D17" s="67">
        <f>资产负债表!B14</f>
        <v>0</v>
      </c>
      <c r="E17" s="67">
        <f>资产负债表!C14</f>
        <v>0</v>
      </c>
      <c r="F17" s="67">
        <f>资产负债表!D14</f>
        <v>0</v>
      </c>
      <c r="G17" s="67">
        <f>资产负债表!E14</f>
        <v>1720216</v>
      </c>
      <c r="H17" s="94">
        <f>G17</f>
        <v>1720216</v>
      </c>
      <c r="I17" s="94">
        <f t="shared" ref="I17:L17" si="2">H17</f>
        <v>1720216</v>
      </c>
      <c r="J17" s="94">
        <f t="shared" si="2"/>
        <v>1720216</v>
      </c>
      <c r="K17" s="94">
        <f t="shared" si="2"/>
        <v>1720216</v>
      </c>
      <c r="L17" s="94">
        <f t="shared" si="2"/>
        <v>1720216</v>
      </c>
      <c r="M17" s="93" t="s">
        <v>82</v>
      </c>
      <c r="N17" s="83">
        <f>SUM(N8:N16)-N8</f>
        <v>0</v>
      </c>
      <c r="O17" s="83">
        <f>SUM(O8:O16)-O8</f>
        <v>0</v>
      </c>
      <c r="P17" s="83">
        <f>SUM(P8:P16)-P8</f>
        <v>0</v>
      </c>
      <c r="Q17" s="210" t="s">
        <v>82</v>
      </c>
    </row>
    <row r="18" spans="1:17" ht="24.95" customHeight="1" x14ac:dyDescent="0.15">
      <c r="A18" s="344"/>
      <c r="B18" s="177"/>
      <c r="C18" s="85" t="s">
        <v>284</v>
      </c>
      <c r="D18" s="67">
        <f>资产负债表!B15</f>
        <v>52719</v>
      </c>
      <c r="E18" s="67">
        <f>资产负债表!C15</f>
        <v>68398</v>
      </c>
      <c r="F18" s="67">
        <f>资产负债表!D15</f>
        <v>120848</v>
      </c>
      <c r="G18" s="67">
        <f>资产负债表!E15</f>
        <v>232749</v>
      </c>
      <c r="H18" s="94">
        <f>G18*(1+IS!H8)</f>
        <v>370628.37230520224</v>
      </c>
      <c r="I18" s="94">
        <f>H18*(1+IS!I8)</f>
        <v>443823.11688789562</v>
      </c>
      <c r="J18" s="94">
        <f>I18*(1+IS!J8)</f>
        <v>538272.93248160079</v>
      </c>
      <c r="K18" s="94">
        <f>J18*(1+IS!K8)</f>
        <v>614087.7458039918</v>
      </c>
      <c r="L18" s="94">
        <f>K18*(1+IS!L8)</f>
        <v>624753.79085292248</v>
      </c>
      <c r="M18" s="90"/>
      <c r="N18" s="67"/>
      <c r="O18" s="67"/>
      <c r="P18" s="67"/>
      <c r="Q18" s="210"/>
    </row>
    <row r="19" spans="1:17" ht="24.95" customHeight="1" x14ac:dyDescent="0.15">
      <c r="A19" s="363"/>
      <c r="B19" s="177"/>
      <c r="C19" s="85" t="s">
        <v>285</v>
      </c>
      <c r="D19" s="67">
        <f>资产负债表!B16</f>
        <v>6494</v>
      </c>
      <c r="E19" s="67">
        <f>资产负债表!C16</f>
        <v>6937</v>
      </c>
      <c r="F19" s="67">
        <f>资产负债表!D16</f>
        <v>0</v>
      </c>
      <c r="G19" s="67">
        <f>资产负债表!E16</f>
        <v>12585</v>
      </c>
      <c r="H19" s="94">
        <f>G19*1.06</f>
        <v>13340.1</v>
      </c>
      <c r="I19" s="94">
        <f t="shared" ref="I19:L19" si="3">H19*1.06</f>
        <v>14140.506000000001</v>
      </c>
      <c r="J19" s="94">
        <f t="shared" si="3"/>
        <v>14988.936360000002</v>
      </c>
      <c r="K19" s="94">
        <f t="shared" si="3"/>
        <v>15888.272541600003</v>
      </c>
      <c r="L19" s="94">
        <f t="shared" si="3"/>
        <v>16841.568894096003</v>
      </c>
      <c r="M19" s="90"/>
      <c r="N19" s="67"/>
      <c r="O19" s="67"/>
      <c r="P19" s="67"/>
      <c r="Q19" s="210"/>
    </row>
    <row r="20" spans="1:17" ht="24.95" customHeight="1" x14ac:dyDescent="0.15">
      <c r="A20" s="358"/>
      <c r="B20" s="177"/>
      <c r="C20" s="85" t="s">
        <v>286</v>
      </c>
      <c r="D20" s="67">
        <f>资产负债表!B17</f>
        <v>0</v>
      </c>
      <c r="E20" s="67">
        <f>资产负债表!C17</f>
        <v>0</v>
      </c>
      <c r="F20" s="67">
        <f>资产负债表!D17</f>
        <v>0</v>
      </c>
      <c r="G20" s="67">
        <f>资产负债表!E17</f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0"/>
      <c r="N20" s="67"/>
      <c r="O20" s="67"/>
      <c r="P20" s="67"/>
      <c r="Q20" s="210"/>
    </row>
    <row r="21" spans="1:17" ht="24.95" customHeight="1" x14ac:dyDescent="0.15">
      <c r="A21" s="79"/>
      <c r="B21" s="177"/>
      <c r="C21" s="85" t="s">
        <v>287</v>
      </c>
      <c r="D21" s="67">
        <f>资产负债表!B18</f>
        <v>0</v>
      </c>
      <c r="E21" s="67">
        <f>资产负债表!C18</f>
        <v>0</v>
      </c>
      <c r="F21" s="67">
        <f>资产负债表!D18</f>
        <v>0</v>
      </c>
      <c r="G21" s="67">
        <f>资产负债表!E18</f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0"/>
      <c r="N21" s="67"/>
      <c r="O21" s="67"/>
      <c r="P21" s="67"/>
      <c r="Q21" s="210"/>
    </row>
    <row r="22" spans="1:17" ht="24.95" customHeight="1" x14ac:dyDescent="0.15">
      <c r="A22" s="79"/>
      <c r="B22" s="177"/>
      <c r="C22" s="119" t="s">
        <v>58</v>
      </c>
      <c r="D22" s="83">
        <f>资产负债表!B19</f>
        <v>1184062</v>
      </c>
      <c r="E22" s="83">
        <f>资产负债表!C19</f>
        <v>1256675</v>
      </c>
      <c r="F22" s="83">
        <f>资产负债表!D19</f>
        <v>1461694</v>
      </c>
      <c r="G22" s="83">
        <f>资产负债表!E19</f>
        <v>5735986</v>
      </c>
      <c r="H22" s="83">
        <f>SUM(H23:H30)</f>
        <v>6987624.4373145867</v>
      </c>
      <c r="I22" s="83">
        <f t="shared" ref="I22:L22" si="4">SUM(I23:I30)</f>
        <v>9258451.4812075309</v>
      </c>
      <c r="J22" s="83">
        <f t="shared" si="4"/>
        <v>13526153.855794612</v>
      </c>
      <c r="K22" s="83">
        <f t="shared" si="4"/>
        <v>18593615.497455046</v>
      </c>
      <c r="L22" s="83">
        <f t="shared" si="4"/>
        <v>23269104.395149536</v>
      </c>
      <c r="M22" s="90"/>
      <c r="N22" s="67"/>
      <c r="O22" s="67"/>
      <c r="P22" s="67"/>
      <c r="Q22" s="210"/>
    </row>
    <row r="23" spans="1:17" ht="24.95" customHeight="1" x14ac:dyDescent="0.15">
      <c r="A23" s="339"/>
      <c r="B23" s="177"/>
      <c r="C23" s="85" t="s">
        <v>288</v>
      </c>
      <c r="D23" s="67">
        <f>资产负债表!B20</f>
        <v>41065</v>
      </c>
      <c r="E23" s="67">
        <f>资产负债表!C20</f>
        <v>49707</v>
      </c>
      <c r="F23" s="67">
        <f>资产负债表!D20</f>
        <v>95118</v>
      </c>
      <c r="G23" s="67">
        <f>资产负债表!E20</f>
        <v>457124</v>
      </c>
      <c r="H23" s="67">
        <f>业务模型!F4/资产负债假设!I10</f>
        <v>716693.13180292095</v>
      </c>
      <c r="I23" s="67">
        <f>业务模型!G4/资产负债假设!J10</f>
        <v>855117.00840837357</v>
      </c>
      <c r="J23" s="67">
        <f>业务模型!H4/资产负债假设!K10</f>
        <v>1033764.1234403775</v>
      </c>
      <c r="K23" s="67">
        <f>业务模型!I4/资产负债假设!L10</f>
        <v>1174310.2141889646</v>
      </c>
      <c r="L23" s="67">
        <f>业务模型!J4/资产负债假设!M10</f>
        <v>1189392.9451131166</v>
      </c>
      <c r="M23" s="90"/>
      <c r="N23" s="67"/>
      <c r="O23" s="67"/>
      <c r="P23" s="67"/>
      <c r="Q23" s="210"/>
    </row>
    <row r="24" spans="1:17" ht="24.95" customHeight="1" x14ac:dyDescent="0.15">
      <c r="A24" s="340"/>
      <c r="B24" s="177"/>
      <c r="C24" s="85" t="s">
        <v>430</v>
      </c>
      <c r="D24" s="67">
        <f>资产负债表!B21</f>
        <v>175473</v>
      </c>
      <c r="E24" s="67">
        <f>资产负债表!C21</f>
        <v>246678</v>
      </c>
      <c r="F24" s="67">
        <f>资产负债表!D21</f>
        <v>497616</v>
      </c>
      <c r="G24" s="67">
        <f>资产负债表!E21</f>
        <v>845118</v>
      </c>
      <c r="H24" s="67">
        <f>IS!H7/资产负债假设!I8</f>
        <v>1345761.7809134643</v>
      </c>
      <c r="I24" s="67">
        <f>IS!I7/资产负债假设!J8</f>
        <v>1611533.9051856915</v>
      </c>
      <c r="J24" s="67">
        <f>IS!J7/资产负债假设!K8</f>
        <v>1954483.7750236753</v>
      </c>
      <c r="K24" s="67">
        <f>IS!K7/资产负债假设!L8</f>
        <v>2229769.4407210252</v>
      </c>
      <c r="L24" s="67">
        <f>IS!L7/资产负债假设!M8</f>
        <v>2268498.1427118485</v>
      </c>
      <c r="M24" s="90"/>
      <c r="N24" s="67"/>
      <c r="O24" s="67"/>
      <c r="P24" s="67"/>
      <c r="Q24" s="210"/>
    </row>
    <row r="25" spans="1:17" ht="24.95" customHeight="1" x14ac:dyDescent="0.15">
      <c r="A25" s="340"/>
      <c r="B25" s="177"/>
      <c r="C25" s="85" t="s">
        <v>432</v>
      </c>
      <c r="D25" s="67">
        <f>资产负债表!B22</f>
        <v>748336</v>
      </c>
      <c r="E25" s="67">
        <f>资产负债表!C22</f>
        <v>502242</v>
      </c>
      <c r="F25" s="67">
        <f>资产负债表!D22</f>
        <v>444213</v>
      </c>
      <c r="G25" s="67">
        <f>资产负债表!E22</f>
        <v>201261</v>
      </c>
      <c r="H25" s="67">
        <f>IS!H7/资产负债假设!I9</f>
        <v>320487.03469624917</v>
      </c>
      <c r="I25" s="67">
        <f>IS!I7/资产负债假设!J9</f>
        <v>383779.4548117274</v>
      </c>
      <c r="J25" s="67">
        <f>IS!J7/资产负债假设!K9</f>
        <v>465451.40328929201</v>
      </c>
      <c r="K25" s="67">
        <f>IS!K7/资产负债假设!L9</f>
        <v>531009.42993635708</v>
      </c>
      <c r="L25" s="67">
        <f>IS!L7/资产负债假设!M9</f>
        <v>540232.49380598846</v>
      </c>
      <c r="M25" s="90"/>
      <c r="N25" s="67"/>
      <c r="O25" s="67"/>
      <c r="P25" s="67"/>
      <c r="Q25" s="210"/>
    </row>
    <row r="26" spans="1:17" ht="24.95" customHeight="1" x14ac:dyDescent="0.15">
      <c r="A26" s="349"/>
      <c r="B26" s="177"/>
      <c r="C26" s="85" t="s">
        <v>291</v>
      </c>
      <c r="D26" s="67">
        <f>资产负债表!B23</f>
        <v>52954</v>
      </c>
      <c r="E26" s="67">
        <f>资产负债表!C23</f>
        <v>7323</v>
      </c>
      <c r="F26" s="67">
        <f>资产负债表!D23</f>
        <v>78857</v>
      </c>
      <c r="G26" s="67">
        <f>资产负债表!E23</f>
        <v>1653</v>
      </c>
      <c r="H26" s="94">
        <f>G26*1.035</f>
        <v>1710.8549999999998</v>
      </c>
      <c r="I26" s="94">
        <f t="shared" ref="I26:L26" si="5">H26*1.035</f>
        <v>1770.7349249999997</v>
      </c>
      <c r="J26" s="94">
        <f t="shared" si="5"/>
        <v>1832.7106473749996</v>
      </c>
      <c r="K26" s="94">
        <f t="shared" si="5"/>
        <v>1896.8555200331243</v>
      </c>
      <c r="L26" s="94">
        <f t="shared" si="5"/>
        <v>1963.2454632342835</v>
      </c>
      <c r="M26" s="90"/>
      <c r="N26" s="67"/>
      <c r="O26" s="67"/>
      <c r="P26" s="67"/>
      <c r="Q26" s="210"/>
    </row>
    <row r="27" spans="1:17" ht="24.95" customHeight="1" x14ac:dyDescent="0.15">
      <c r="A27" s="363"/>
      <c r="B27" s="177"/>
      <c r="C27" s="85" t="s">
        <v>292</v>
      </c>
      <c r="D27" s="67">
        <f>资产负债表!B24</f>
        <v>0</v>
      </c>
      <c r="E27" s="67">
        <f>资产负债表!C24</f>
        <v>0</v>
      </c>
      <c r="F27" s="67">
        <f>资产负债表!D24</f>
        <v>0</v>
      </c>
      <c r="G27" s="67">
        <f>资产负债表!E24</f>
        <v>103381</v>
      </c>
      <c r="H27" s="94">
        <f>G27*1.035</f>
        <v>106999.33499999999</v>
      </c>
      <c r="I27" s="94">
        <f t="shared" ref="I27:L27" si="6">H27*1.035</f>
        <v>110744.31172499998</v>
      </c>
      <c r="J27" s="94">
        <f t="shared" si="6"/>
        <v>114620.36263537497</v>
      </c>
      <c r="K27" s="94">
        <f t="shared" si="6"/>
        <v>118632.07532761309</v>
      </c>
      <c r="L27" s="94">
        <f t="shared" si="6"/>
        <v>122784.19796407953</v>
      </c>
      <c r="M27" s="90"/>
      <c r="N27" s="67"/>
      <c r="O27" s="67"/>
      <c r="P27" s="67"/>
      <c r="Q27" s="210"/>
    </row>
    <row r="28" spans="1:17" ht="24.95" customHeight="1" x14ac:dyDescent="0.15">
      <c r="A28" s="349"/>
      <c r="B28" s="177"/>
      <c r="C28" s="85" t="s">
        <v>293</v>
      </c>
      <c r="D28" s="67">
        <f>资产负债表!B25</f>
        <v>7000</v>
      </c>
      <c r="E28" s="67">
        <f>资产负债表!C25</f>
        <v>7636</v>
      </c>
      <c r="F28" s="67">
        <f>资产负债表!D25</f>
        <v>16201</v>
      </c>
      <c r="G28" s="67">
        <f>资产负债表!E25</f>
        <v>807</v>
      </c>
      <c r="H28" s="94">
        <f>G28*1.035</f>
        <v>835.24499999999989</v>
      </c>
      <c r="I28" s="94">
        <f t="shared" ref="I28:L28" si="7">H28*1.035</f>
        <v>864.47857499999986</v>
      </c>
      <c r="J28" s="94">
        <f t="shared" si="7"/>
        <v>894.7353251249998</v>
      </c>
      <c r="K28" s="94">
        <f t="shared" si="7"/>
        <v>926.05106150437473</v>
      </c>
      <c r="L28" s="94">
        <f t="shared" si="7"/>
        <v>958.46284865702773</v>
      </c>
      <c r="M28" s="90"/>
      <c r="N28" s="67"/>
      <c r="O28" s="67"/>
      <c r="P28" s="67"/>
      <c r="Q28" s="210"/>
    </row>
    <row r="29" spans="1:17" ht="24.95" customHeight="1" x14ac:dyDescent="0.15">
      <c r="A29" s="363"/>
      <c r="B29" s="177"/>
      <c r="C29" s="85" t="s">
        <v>294</v>
      </c>
      <c r="D29" s="67">
        <f>资产负债表!B26</f>
        <v>1639</v>
      </c>
      <c r="E29" s="67">
        <f>资产负债表!C26</f>
        <v>36213</v>
      </c>
      <c r="F29" s="67">
        <f>资产负债表!D26</f>
        <v>47657</v>
      </c>
      <c r="G29" s="67">
        <f>资产负债表!E26</f>
        <v>8019</v>
      </c>
      <c r="H29" s="94">
        <f>G29*1.035</f>
        <v>8299.6649999999991</v>
      </c>
      <c r="I29" s="94">
        <f t="shared" ref="I29:L29" si="8">H29*1.035</f>
        <v>8590.1532749999988</v>
      </c>
      <c r="J29" s="94">
        <f t="shared" si="8"/>
        <v>8890.8086396249982</v>
      </c>
      <c r="K29" s="94">
        <f t="shared" si="8"/>
        <v>9201.9869420118721</v>
      </c>
      <c r="L29" s="94">
        <f t="shared" si="8"/>
        <v>9524.0564849822877</v>
      </c>
      <c r="M29" s="90"/>
      <c r="N29" s="67"/>
      <c r="O29" s="67"/>
      <c r="P29" s="67"/>
      <c r="Q29" s="210"/>
    </row>
    <row r="30" spans="1:17" ht="24.95" customHeight="1" x14ac:dyDescent="0.15">
      <c r="A30" s="79"/>
      <c r="B30" s="177"/>
      <c r="C30" s="85" t="s">
        <v>295</v>
      </c>
      <c r="D30" s="67">
        <f>资产负债表!B27</f>
        <v>157595</v>
      </c>
      <c r="E30" s="67">
        <f>资产负债表!C27</f>
        <v>406876</v>
      </c>
      <c r="F30" s="67">
        <f>资产负债表!D27</f>
        <v>282032</v>
      </c>
      <c r="G30" s="67">
        <f>资产负债表!E27</f>
        <v>4118623</v>
      </c>
      <c r="H30" s="67">
        <f>CS!I86</f>
        <v>4486837.3899019528</v>
      </c>
      <c r="I30" s="67">
        <f>CS!J86</f>
        <v>6286051.4343017386</v>
      </c>
      <c r="J30" s="67">
        <f>CS!K86</f>
        <v>9946215.9367937669</v>
      </c>
      <c r="K30" s="67">
        <f>CS!L86</f>
        <v>14527869.443757538</v>
      </c>
      <c r="L30" s="67">
        <f>CS!M86</f>
        <v>19135750.850757629</v>
      </c>
      <c r="M30" s="90"/>
      <c r="N30" s="67"/>
      <c r="O30" s="67"/>
      <c r="P30" s="67"/>
      <c r="Q30" s="210"/>
    </row>
    <row r="31" spans="1:17" ht="24.95" customHeight="1" x14ac:dyDescent="0.15">
      <c r="A31" s="79"/>
      <c r="B31" s="177"/>
      <c r="C31" s="326" t="s">
        <v>62</v>
      </c>
      <c r="D31" s="83">
        <f>资产负债表!B28</f>
        <v>1244419</v>
      </c>
      <c r="E31" s="83">
        <f>资产负债表!C28</f>
        <v>1642318</v>
      </c>
      <c r="F31" s="83">
        <f>资产负债表!D28</f>
        <v>2618137</v>
      </c>
      <c r="G31" s="83">
        <f>资产负债表!E28</f>
        <v>3305988</v>
      </c>
      <c r="H31" s="83">
        <f>SUM(H32:H41)</f>
        <v>5215272.9879818587</v>
      </c>
      <c r="I31" s="83">
        <f t="shared" ref="I31:L31" si="9">SUM(I32:I41)</f>
        <v>6200065.0727837998</v>
      </c>
      <c r="J31" s="83">
        <f t="shared" si="9"/>
        <v>7470050.1796972668</v>
      </c>
      <c r="K31" s="83">
        <f t="shared" si="9"/>
        <v>8466042.4667257406</v>
      </c>
      <c r="L31" s="83">
        <f t="shared" si="9"/>
        <v>8555148.0576284863</v>
      </c>
      <c r="M31" s="93" t="s">
        <v>82</v>
      </c>
      <c r="N31" s="83">
        <f>SUM(N22:N30)</f>
        <v>0</v>
      </c>
      <c r="O31" s="83">
        <f>SUM(O22:O30)</f>
        <v>0</v>
      </c>
      <c r="P31" s="83">
        <f>SUM(P22:P30)</f>
        <v>0</v>
      </c>
      <c r="Q31" s="210" t="s">
        <v>82</v>
      </c>
    </row>
    <row r="32" spans="1:17" ht="24.95" customHeight="1" x14ac:dyDescent="0.15">
      <c r="A32" s="347"/>
      <c r="B32" s="177"/>
      <c r="C32" s="85" t="s">
        <v>296</v>
      </c>
      <c r="D32" s="67">
        <f>资产负债表!B29</f>
        <v>100272</v>
      </c>
      <c r="E32" s="67">
        <f>资产负债表!C29</f>
        <v>119768</v>
      </c>
      <c r="F32" s="67">
        <f>资产负债表!D29</f>
        <v>168719</v>
      </c>
      <c r="G32" s="67">
        <f>资产负债表!E29</f>
        <v>729328</v>
      </c>
      <c r="H32" s="67">
        <f>业务模型!F4/资产负债假设!I15</f>
        <v>1143462.973791708</v>
      </c>
      <c r="I32" s="67">
        <f>业务模型!G4/资产负债假设!J15</f>
        <v>1364314.2287616974</v>
      </c>
      <c r="J32" s="67">
        <f>业务模型!H4/资产负债假设!K15</f>
        <v>1649340.4866524697</v>
      </c>
      <c r="K32" s="67">
        <f>业务模型!I4/资产负债假设!L15</f>
        <v>1873577.6723471291</v>
      </c>
      <c r="L32" s="67">
        <f>业务模型!J4/资产负债假设!M15</f>
        <v>1897641.7293195261</v>
      </c>
      <c r="M32" s="93"/>
      <c r="N32" s="83">
        <f>N31+N17</f>
        <v>0</v>
      </c>
      <c r="O32" s="83">
        <f>O31+O17</f>
        <v>0</v>
      </c>
      <c r="P32" s="83">
        <f>P31+P17</f>
        <v>0</v>
      </c>
      <c r="Q32" s="210"/>
    </row>
    <row r="33" spans="1:19" ht="24.95" customHeight="1" x14ac:dyDescent="0.15">
      <c r="A33" s="347"/>
      <c r="B33" s="177"/>
      <c r="C33" s="85" t="s">
        <v>61</v>
      </c>
      <c r="D33" s="67">
        <f>资产负债表!B30</f>
        <v>284743</v>
      </c>
      <c r="E33" s="67">
        <f>资产负债表!C30</f>
        <v>363979</v>
      </c>
      <c r="F33" s="67">
        <f>资产负债表!D30</f>
        <v>510735</v>
      </c>
      <c r="G33" s="67">
        <f>资产负债表!E30</f>
        <v>906464</v>
      </c>
      <c r="H33" s="67">
        <f>业务模型!F4/资产负债假设!I16</f>
        <v>1421182.2678892442</v>
      </c>
      <c r="I33" s="67">
        <f>业务模型!G4/资产负债假设!J16</f>
        <v>1695672.9113104714</v>
      </c>
      <c r="J33" s="67">
        <f>业务模型!H4/资产负债假设!K16</f>
        <v>2049925.1021391533</v>
      </c>
      <c r="K33" s="67">
        <f>业务模型!I4/资产负债假设!L16</f>
        <v>2328624.0363546554</v>
      </c>
      <c r="L33" s="67">
        <f>业务模型!J4/资产负债假设!M16</f>
        <v>2358532.6664078371</v>
      </c>
      <c r="M33" s="93"/>
      <c r="N33" s="83"/>
      <c r="O33" s="83"/>
      <c r="P33" s="83"/>
      <c r="Q33" s="210"/>
    </row>
    <row r="34" spans="1:19" ht="24.95" customHeight="1" x14ac:dyDescent="0.15">
      <c r="A34" s="347"/>
      <c r="B34" s="177"/>
      <c r="C34" s="85" t="s">
        <v>437</v>
      </c>
      <c r="D34" s="67">
        <f>资产负债表!B31</f>
        <v>154319</v>
      </c>
      <c r="E34" s="67">
        <f>资产负债表!C31</f>
        <v>212505</v>
      </c>
      <c r="F34" s="67">
        <f>资产负债表!D31</f>
        <v>1202588</v>
      </c>
      <c r="G34" s="67">
        <f>资产负债表!E31</f>
        <v>592663</v>
      </c>
      <c r="H34" s="67">
        <f>业务模型!F4/资产负债假设!I17</f>
        <v>979358.91231148085</v>
      </c>
      <c r="I34" s="67">
        <f>业务模型!G4/资产负债假设!J17</f>
        <v>1168514.7046786016</v>
      </c>
      <c r="J34" s="67">
        <f>业务模型!H4/资产负债假设!K17</f>
        <v>1412635.4259490804</v>
      </c>
      <c r="K34" s="67">
        <f>业务模型!I4/资产负债假设!L17</f>
        <v>1604691.2172734726</v>
      </c>
      <c r="L34" s="67">
        <f>业务模型!J4/资产负债假设!M17</f>
        <v>1625301.7216819704</v>
      </c>
      <c r="M34" s="90" t="s">
        <v>82</v>
      </c>
      <c r="N34" s="67"/>
      <c r="O34" s="67"/>
      <c r="P34" s="67"/>
      <c r="Q34" s="210" t="s">
        <v>82</v>
      </c>
      <c r="R34" s="95"/>
      <c r="S34" s="95"/>
    </row>
    <row r="35" spans="1:19" ht="24.95" customHeight="1" x14ac:dyDescent="0.15">
      <c r="A35" s="367"/>
      <c r="B35" s="177"/>
      <c r="C35" s="85" t="s">
        <v>60</v>
      </c>
      <c r="D35" s="67">
        <f>资产负债表!B32</f>
        <v>0</v>
      </c>
      <c r="E35" s="67">
        <f>资产负债表!C32</f>
        <v>0</v>
      </c>
      <c r="F35" s="67">
        <f>资产负债表!D32</f>
        <v>0</v>
      </c>
      <c r="G35" s="67">
        <f>资产负债表!E32</f>
        <v>128416</v>
      </c>
      <c r="H35" s="94">
        <f>G35*(IS!H42+1)</f>
        <v>201782.95848571623</v>
      </c>
      <c r="I35" s="94">
        <f>H35*(IS!I42+1)</f>
        <v>253489.90888089105</v>
      </c>
      <c r="J35" s="94">
        <f>I35*(IS!J42+1)</f>
        <v>320306.36651734862</v>
      </c>
      <c r="K35" s="94">
        <f>J35*(IS!K42+1)</f>
        <v>382218.11714017641</v>
      </c>
      <c r="L35" s="94">
        <f>K35*(IS!L42+1)</f>
        <v>406673.16826396971</v>
      </c>
      <c r="M35" s="90"/>
      <c r="N35" s="67"/>
      <c r="O35" s="67"/>
      <c r="P35" s="67"/>
      <c r="Q35" s="210"/>
      <c r="R35" s="95"/>
      <c r="S35" s="95"/>
    </row>
    <row r="36" spans="1:19" ht="24.95" customHeight="1" x14ac:dyDescent="0.15">
      <c r="A36" s="347"/>
      <c r="B36" s="177"/>
      <c r="C36" s="85" t="s">
        <v>298</v>
      </c>
      <c r="D36" s="67">
        <f>资产负债表!B33</f>
        <v>45490</v>
      </c>
      <c r="E36" s="67">
        <f>资产负债表!C33</f>
        <v>105366</v>
      </c>
      <c r="F36" s="67">
        <f>资产负债表!D33</f>
        <v>79752</v>
      </c>
      <c r="G36" s="67">
        <f>资产负债表!E33</f>
        <v>160724</v>
      </c>
      <c r="H36" s="94">
        <f>G36*(1+IS!H23/IS!G23-1)</f>
        <v>251856.6078990566</v>
      </c>
      <c r="I36" s="94">
        <f>H36*(1+IS!I23/IS!H23-1)</f>
        <v>316394.94765313133</v>
      </c>
      <c r="J36" s="94">
        <f>I36*(1+IS!J23/IS!I23-1)</f>
        <v>399792.30934530043</v>
      </c>
      <c r="K36" s="94">
        <f>J36*(1+IS!K23/IS!J23-1)</f>
        <v>477067.83160929527</v>
      </c>
      <c r="L36" s="94">
        <f>K36*(1+IS!L23/IS!K23-1)</f>
        <v>507591.55010494101</v>
      </c>
      <c r="M36" s="90"/>
      <c r="N36" s="67"/>
      <c r="O36" s="67"/>
      <c r="P36" s="67"/>
      <c r="Q36" s="210"/>
      <c r="R36" s="95"/>
      <c r="S36" s="95"/>
    </row>
    <row r="37" spans="1:19" ht="24.95" customHeight="1" x14ac:dyDescent="0.15">
      <c r="A37" s="347"/>
      <c r="B37" s="177"/>
      <c r="C37" s="85" t="s">
        <v>299</v>
      </c>
      <c r="D37" s="67">
        <f>资产负债表!B34</f>
        <v>0</v>
      </c>
      <c r="E37" s="67">
        <f>资产负债表!C34</f>
        <v>0</v>
      </c>
      <c r="F37" s="67">
        <f>资产负债表!D34</f>
        <v>0</v>
      </c>
      <c r="G37" s="67">
        <f>资产负债表!E34</f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0"/>
      <c r="N37" s="67"/>
      <c r="O37" s="67"/>
      <c r="P37" s="67"/>
      <c r="Q37" s="210"/>
    </row>
    <row r="38" spans="1:19" ht="24.95" customHeight="1" x14ac:dyDescent="0.15">
      <c r="A38" s="365"/>
      <c r="B38" s="177"/>
      <c r="C38" s="85" t="s">
        <v>300</v>
      </c>
      <c r="D38" s="67">
        <f>资产负债表!B35</f>
        <v>414391</v>
      </c>
      <c r="E38" s="67">
        <f>资产负债表!C35</f>
        <v>567451</v>
      </c>
      <c r="F38" s="67">
        <f>资产负债表!D35</f>
        <v>347764</v>
      </c>
      <c r="G38" s="67">
        <f>资产负债表!E35</f>
        <v>410354</v>
      </c>
      <c r="H38" s="67">
        <f>CS!I103</f>
        <v>653445.70798984729</v>
      </c>
      <c r="I38" s="67">
        <f>CS!J103</f>
        <v>782493.55016526591</v>
      </c>
      <c r="J38" s="67">
        <f>CS!K103</f>
        <v>949015.6818527889</v>
      </c>
      <c r="K38" s="67">
        <f>CS!L103</f>
        <v>1082682.9023611324</v>
      </c>
      <c r="L38" s="67">
        <f>CS!M103</f>
        <v>1101487.9423398599</v>
      </c>
      <c r="M38" s="90"/>
      <c r="N38" s="67"/>
      <c r="O38" s="67"/>
      <c r="P38" s="67"/>
      <c r="Q38" s="210"/>
    </row>
    <row r="39" spans="1:19" ht="24.6" customHeight="1" x14ac:dyDescent="0.15">
      <c r="A39" s="353"/>
      <c r="B39" s="177"/>
      <c r="C39" s="85" t="s">
        <v>301</v>
      </c>
      <c r="D39" s="67">
        <f>资产负债表!B36</f>
        <v>245204</v>
      </c>
      <c r="E39" s="67">
        <f>资产负债表!C36</f>
        <v>273249</v>
      </c>
      <c r="F39" s="67">
        <f>资产负债表!D36</f>
        <v>308579</v>
      </c>
      <c r="G39" s="67">
        <f>资产负债表!E36</f>
        <v>378039</v>
      </c>
      <c r="H39" s="94">
        <f>G39*(1+IS!H8-10%)</f>
        <v>564183.55961480539</v>
      </c>
      <c r="I39" s="94">
        <f>H39*(1+IS!I8-10%)</f>
        <v>619184.82133374061</v>
      </c>
      <c r="J39" s="94">
        <f>I39*(1+IS!J8-10%)</f>
        <v>689034.80724112631</v>
      </c>
      <c r="K39" s="94">
        <f>J39*(1+IS!K8-10%)</f>
        <v>717180.68963987753</v>
      </c>
      <c r="L39" s="94">
        <f>K39*(1+IS!L8-10%)</f>
        <v>657919.27951038093</v>
      </c>
      <c r="M39" s="90"/>
      <c r="N39" s="67"/>
      <c r="O39" s="67"/>
      <c r="P39" s="67"/>
      <c r="Q39" s="210"/>
    </row>
    <row r="40" spans="1:19" ht="24.95" customHeight="1" x14ac:dyDescent="0.15">
      <c r="A40" s="347"/>
      <c r="B40" s="177"/>
      <c r="C40" s="85" t="s">
        <v>302</v>
      </c>
      <c r="D40" s="67">
        <f>资产负债表!B37</f>
        <v>0</v>
      </c>
      <c r="E40" s="67">
        <f>资产负债表!C37</f>
        <v>0</v>
      </c>
      <c r="F40" s="67">
        <f>资产负债表!D37</f>
        <v>0</v>
      </c>
      <c r="G40" s="67">
        <f>资产负债表!E37</f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0"/>
      <c r="N40" s="67"/>
      <c r="O40" s="67"/>
      <c r="P40" s="67"/>
      <c r="Q40" s="210"/>
    </row>
    <row r="41" spans="1:19" ht="24.95" customHeight="1" x14ac:dyDescent="0.15">
      <c r="A41" s="365"/>
      <c r="B41" s="177"/>
      <c r="C41" s="85" t="s">
        <v>303</v>
      </c>
      <c r="D41" s="67">
        <f>资产负债表!B38</f>
        <v>0</v>
      </c>
      <c r="E41" s="67">
        <f>资产负债表!C38</f>
        <v>0</v>
      </c>
      <c r="F41" s="67">
        <f>资产负债表!D38</f>
        <v>0</v>
      </c>
      <c r="G41" s="67">
        <f>资产负债表!E38</f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0"/>
      <c r="N41" s="67"/>
      <c r="O41" s="67"/>
      <c r="P41" s="67"/>
      <c r="Q41" s="210"/>
    </row>
    <row r="42" spans="1:19" ht="24.95" customHeight="1" x14ac:dyDescent="0.15">
      <c r="A42" s="79"/>
      <c r="B42" s="177"/>
      <c r="C42" s="119" t="s">
        <v>304</v>
      </c>
      <c r="D42" s="83">
        <f>资产负债表!B39</f>
        <v>-60357</v>
      </c>
      <c r="E42" s="83">
        <f>资产负债表!C39</f>
        <v>-385643</v>
      </c>
      <c r="F42" s="83">
        <f>资产负债表!D39</f>
        <v>-1156443</v>
      </c>
      <c r="G42" s="83">
        <f>资产负债表!E39</f>
        <v>2429998</v>
      </c>
      <c r="H42" s="83">
        <f>H22-H31</f>
        <v>1772351.4493327281</v>
      </c>
      <c r="I42" s="83">
        <f t="shared" ref="I42:L42" si="10">I22-I31</f>
        <v>3058386.4084237311</v>
      </c>
      <c r="J42" s="83">
        <f t="shared" si="10"/>
        <v>6056103.6760973455</v>
      </c>
      <c r="K42" s="83">
        <f t="shared" si="10"/>
        <v>10127573.030729305</v>
      </c>
      <c r="L42" s="83">
        <f t="shared" si="10"/>
        <v>14713956.33752105</v>
      </c>
      <c r="M42" s="90"/>
      <c r="N42" s="67"/>
      <c r="O42" s="67"/>
      <c r="P42" s="67"/>
      <c r="Q42" s="210"/>
    </row>
    <row r="43" spans="1:19" ht="24.95" customHeight="1" x14ac:dyDescent="0.15">
      <c r="A43" s="79"/>
      <c r="B43" s="177"/>
      <c r="C43" s="119" t="s">
        <v>305</v>
      </c>
      <c r="D43" s="83">
        <f>资产负债表!B40</f>
        <v>1162199</v>
      </c>
      <c r="E43" s="83">
        <f>资产负债表!C40</f>
        <v>1107205</v>
      </c>
      <c r="F43" s="83">
        <f>资产负债表!D40</f>
        <v>1117688</v>
      </c>
      <c r="G43" s="83">
        <f>资产负债表!E40</f>
        <v>8638655</v>
      </c>
      <c r="H43" s="83">
        <f>H8+H22-H31</f>
        <v>10468596.828444354</v>
      </c>
      <c r="I43" s="83">
        <f t="shared" ref="I43:L43" si="11">I8+I22-I31</f>
        <v>12750887.782916287</v>
      </c>
      <c r="J43" s="83">
        <f t="shared" si="11"/>
        <v>15634822.323494282</v>
      </c>
      <c r="K43" s="83">
        <f t="shared" si="11"/>
        <v>19075004.733051654</v>
      </c>
      <c r="L43" s="83">
        <f t="shared" si="11"/>
        <v>22733047.319112945</v>
      </c>
      <c r="M43" s="90"/>
      <c r="N43" s="67"/>
      <c r="O43" s="67"/>
      <c r="P43" s="67"/>
      <c r="Q43" s="210"/>
    </row>
    <row r="44" spans="1:19" ht="24.95" customHeight="1" x14ac:dyDescent="0.15">
      <c r="A44" s="79"/>
      <c r="B44" s="177"/>
      <c r="C44" s="82" t="s">
        <v>63</v>
      </c>
      <c r="D44" s="83">
        <f>资产负债表!B41</f>
        <v>5281</v>
      </c>
      <c r="E44" s="83">
        <f>资产负债表!C41</f>
        <v>35465</v>
      </c>
      <c r="F44" s="83">
        <f>资产负债表!D41</f>
        <v>26707</v>
      </c>
      <c r="G44" s="83">
        <f>资产负债表!E41</f>
        <v>9097</v>
      </c>
      <c r="H44" s="83">
        <f>SUM(H45:H49)</f>
        <v>24162.523119199686</v>
      </c>
      <c r="I44" s="83">
        <f t="shared" ref="I44:L44" si="12">SUM(I45:I49)</f>
        <v>26514.513867748392</v>
      </c>
      <c r="J44" s="83">
        <f t="shared" si="12"/>
        <v>29549.500788531386</v>
      </c>
      <c r="K44" s="83">
        <f t="shared" si="12"/>
        <v>31985.683065740577</v>
      </c>
      <c r="L44" s="83">
        <f t="shared" si="12"/>
        <v>32328.418591654554</v>
      </c>
      <c r="M44" s="93"/>
      <c r="N44" s="83">
        <f>SUM(N34:N34)</f>
        <v>0</v>
      </c>
      <c r="O44" s="83">
        <f>SUM(O34:O34)</f>
        <v>0</v>
      </c>
      <c r="P44" s="83">
        <f>SUM(P34:P34)</f>
        <v>0</v>
      </c>
      <c r="Q44" s="210"/>
    </row>
    <row r="45" spans="1:19" ht="24.95" customHeight="1" x14ac:dyDescent="0.15">
      <c r="A45" s="347"/>
      <c r="B45" s="177"/>
      <c r="C45" s="85" t="s">
        <v>306</v>
      </c>
      <c r="D45" s="67">
        <f>资产负债表!B42</f>
        <v>3290</v>
      </c>
      <c r="E45" s="67">
        <f>资产负债表!C42</f>
        <v>21743</v>
      </c>
      <c r="F45" s="67">
        <f>资产负债表!D42</f>
        <v>13398</v>
      </c>
      <c r="G45" s="67">
        <f>资产负债表!E42</f>
        <v>1618</v>
      </c>
      <c r="H45" s="94">
        <f>AVERAGE(E45:G45)</f>
        <v>12253</v>
      </c>
      <c r="I45" s="94">
        <f>H45</f>
        <v>12253</v>
      </c>
      <c r="J45" s="94">
        <f t="shared" ref="J45:L45" si="13">I45</f>
        <v>12253</v>
      </c>
      <c r="K45" s="94">
        <f t="shared" si="13"/>
        <v>12253</v>
      </c>
      <c r="L45" s="94">
        <f t="shared" si="13"/>
        <v>12253</v>
      </c>
      <c r="M45" s="90"/>
      <c r="N45" s="67"/>
      <c r="O45" s="67"/>
      <c r="P45" s="67"/>
      <c r="Q45" s="210"/>
    </row>
    <row r="46" spans="1:19" ht="24.95" customHeight="1" x14ac:dyDescent="0.15">
      <c r="A46" s="347"/>
      <c r="B46" s="177"/>
      <c r="C46" s="85" t="s">
        <v>307</v>
      </c>
      <c r="D46" s="67">
        <f>资产负债表!B43</f>
        <v>0</v>
      </c>
      <c r="E46" s="67">
        <f>资产负债表!C43</f>
        <v>0</v>
      </c>
      <c r="F46" s="67">
        <f>资产负债表!D43</f>
        <v>0</v>
      </c>
      <c r="G46" s="67">
        <f>资产负债表!E43</f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0"/>
      <c r="N46" s="67"/>
      <c r="O46" s="67"/>
      <c r="P46" s="67"/>
      <c r="Q46" s="210"/>
    </row>
    <row r="47" spans="1:19" ht="24.95" customHeight="1" x14ac:dyDescent="0.15">
      <c r="A47" s="365"/>
      <c r="B47" s="177"/>
      <c r="C47" s="85" t="s">
        <v>308</v>
      </c>
      <c r="D47" s="67">
        <f>资产负债表!B44</f>
        <v>0</v>
      </c>
      <c r="E47" s="67">
        <f>资产负债表!C44</f>
        <v>11111</v>
      </c>
      <c r="F47" s="67">
        <f>资产负债表!D44</f>
        <v>9456</v>
      </c>
      <c r="G47" s="67">
        <f>资产负债表!E44</f>
        <v>0</v>
      </c>
      <c r="H47" s="67">
        <f>CS!I92</f>
        <v>0</v>
      </c>
      <c r="I47" s="67">
        <f>CS!J92</f>
        <v>0</v>
      </c>
      <c r="J47" s="67">
        <f>CS!K92</f>
        <v>0</v>
      </c>
      <c r="K47" s="67">
        <f>CS!L92</f>
        <v>0</v>
      </c>
      <c r="L47" s="67">
        <f>CS!M92</f>
        <v>0</v>
      </c>
      <c r="M47" s="90"/>
      <c r="N47" s="67"/>
      <c r="O47" s="67"/>
      <c r="P47" s="67"/>
      <c r="Q47" s="210"/>
    </row>
    <row r="48" spans="1:19" ht="24.95" customHeight="1" x14ac:dyDescent="0.15">
      <c r="A48" s="365"/>
      <c r="B48" s="177"/>
      <c r="C48" s="85" t="s">
        <v>309</v>
      </c>
      <c r="D48" s="67">
        <f>资产负债表!B45</f>
        <v>0</v>
      </c>
      <c r="E48" s="67">
        <f>资产负债表!C45</f>
        <v>0</v>
      </c>
      <c r="F48" s="67">
        <f>资产负债表!D45</f>
        <v>0</v>
      </c>
      <c r="G48" s="67">
        <f>资产负债表!E45</f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0"/>
      <c r="N48" s="67"/>
      <c r="O48" s="67"/>
      <c r="P48" s="67"/>
      <c r="Q48" s="210"/>
    </row>
    <row r="49" spans="1:17" ht="24.95" customHeight="1" x14ac:dyDescent="0.15">
      <c r="A49" s="351"/>
      <c r="B49" s="177"/>
      <c r="C49" s="85" t="s">
        <v>310</v>
      </c>
      <c r="D49" s="67">
        <f>资产负债表!B46</f>
        <v>1991</v>
      </c>
      <c r="E49" s="67">
        <f>资产负债表!C46</f>
        <v>2611</v>
      </c>
      <c r="F49" s="67">
        <f>资产负债表!D46</f>
        <v>3853</v>
      </c>
      <c r="G49" s="67">
        <f>资产负债表!E46</f>
        <v>7479</v>
      </c>
      <c r="H49" s="94">
        <f>G49*(1+IS!H8)</f>
        <v>11909.523119199685</v>
      </c>
      <c r="I49" s="94">
        <f>H49*(1+IS!I8)</f>
        <v>14261.513867748394</v>
      </c>
      <c r="J49" s="94">
        <f>I49*(1+IS!J8)</f>
        <v>17296.500788531386</v>
      </c>
      <c r="K49" s="94">
        <f>J49*(1+IS!K8)</f>
        <v>19732.683065740577</v>
      </c>
      <c r="L49" s="94">
        <f>K49*(1+IS!L8)</f>
        <v>20075.418591654554</v>
      </c>
      <c r="M49" s="93"/>
      <c r="N49" s="83">
        <f>SUM(N45:N45)</f>
        <v>0</v>
      </c>
      <c r="O49" s="83">
        <f>SUM(O45:O45)</f>
        <v>0</v>
      </c>
      <c r="P49" s="83">
        <f>SUM(P45:P45)</f>
        <v>0</v>
      </c>
      <c r="Q49" s="210"/>
    </row>
    <row r="50" spans="1:17" ht="24.95" customHeight="1" x14ac:dyDescent="0.15">
      <c r="B50" s="177"/>
      <c r="C50" s="326" t="s">
        <v>311</v>
      </c>
      <c r="D50" s="83">
        <f>资产负债表!B47</f>
        <v>1156918</v>
      </c>
      <c r="E50" s="83">
        <f>资产负债表!C47</f>
        <v>1071740</v>
      </c>
      <c r="F50" s="83">
        <f>资产负债表!D47</f>
        <v>1090981</v>
      </c>
      <c r="G50" s="83">
        <f>资产负债表!E47</f>
        <v>8629558</v>
      </c>
      <c r="H50" s="83">
        <f>H43-H44</f>
        <v>10444434.305325154</v>
      </c>
      <c r="I50" s="83">
        <f t="shared" ref="I50:L50" si="14">I43-I44</f>
        <v>12724373.269048538</v>
      </c>
      <c r="J50" s="83">
        <f t="shared" si="14"/>
        <v>15605272.822705749</v>
      </c>
      <c r="K50" s="83">
        <f t="shared" si="14"/>
        <v>19043019.049985912</v>
      </c>
      <c r="L50" s="83">
        <f t="shared" si="14"/>
        <v>22700718.90052129</v>
      </c>
      <c r="M50" s="93"/>
      <c r="N50" s="83">
        <f>N49+N44</f>
        <v>0</v>
      </c>
      <c r="O50" s="83">
        <f>O49+O44</f>
        <v>0</v>
      </c>
      <c r="P50" s="83">
        <f>P49+P44</f>
        <v>0</v>
      </c>
      <c r="Q50" s="210"/>
    </row>
    <row r="51" spans="1:17" ht="24.95" customHeight="1" x14ac:dyDescent="0.15">
      <c r="B51" s="177"/>
      <c r="C51" s="326" t="s">
        <v>312</v>
      </c>
      <c r="D51" s="83">
        <f>资产负债表!B48</f>
        <v>1156918</v>
      </c>
      <c r="E51" s="83">
        <f>资产负债表!C48</f>
        <v>1071740</v>
      </c>
      <c r="F51" s="83">
        <f>资产负债表!D48</f>
        <v>1090981</v>
      </c>
      <c r="G51" s="83">
        <f>资产负债表!E48</f>
        <v>8629558</v>
      </c>
      <c r="H51" s="83">
        <f>H52+H55</f>
        <v>10444434.305325158</v>
      </c>
      <c r="I51" s="83">
        <f t="shared" ref="I51:L51" si="15">I52+I55</f>
        <v>12724373.26904854</v>
      </c>
      <c r="J51" s="83">
        <f t="shared" si="15"/>
        <v>15605272.822705751</v>
      </c>
      <c r="K51" s="83">
        <f t="shared" si="15"/>
        <v>19043019.049985923</v>
      </c>
      <c r="L51" s="83">
        <f t="shared" si="15"/>
        <v>22700718.900521293</v>
      </c>
      <c r="M51" s="93"/>
      <c r="N51" s="83"/>
      <c r="O51" s="83"/>
      <c r="P51" s="83"/>
      <c r="Q51" s="210"/>
    </row>
    <row r="52" spans="1:17" ht="24.95" customHeight="1" x14ac:dyDescent="0.15">
      <c r="B52" s="177"/>
      <c r="C52" s="85" t="s">
        <v>313</v>
      </c>
      <c r="D52" s="67">
        <f>资产负债表!B49</f>
        <v>719228</v>
      </c>
      <c r="E52" s="67">
        <f>资产负债表!C49</f>
        <v>802017</v>
      </c>
      <c r="F52" s="67">
        <f>资产负债表!D49</f>
        <v>1089085</v>
      </c>
      <c r="G52" s="67">
        <f>资产负债表!E49</f>
        <v>8624972</v>
      </c>
      <c r="H52" s="67">
        <f>H53+H54</f>
        <v>10435621.447625754</v>
      </c>
      <c r="I52" s="67">
        <f t="shared" ref="I52:L52" si="16">I53+I54</f>
        <v>12710250.419954844</v>
      </c>
      <c r="J52" s="67">
        <f t="shared" si="16"/>
        <v>15584440.341432797</v>
      </c>
      <c r="K52" s="67">
        <f t="shared" si="16"/>
        <v>19014180.037321962</v>
      </c>
      <c r="L52" s="67">
        <f t="shared" si="16"/>
        <v>22663361.083170768</v>
      </c>
      <c r="M52" s="90"/>
      <c r="N52" s="67"/>
      <c r="O52" s="67"/>
      <c r="P52" s="67"/>
      <c r="Q52" s="210"/>
    </row>
    <row r="53" spans="1:17" ht="24.95" customHeight="1" x14ac:dyDescent="0.15">
      <c r="B53" s="177"/>
      <c r="C53" s="85" t="s">
        <v>314</v>
      </c>
      <c r="D53" s="67">
        <f>资产负债表!B50</f>
        <v>0</v>
      </c>
      <c r="E53" s="67">
        <f>资产负债表!C50</f>
        <v>0</v>
      </c>
      <c r="F53" s="67">
        <f>资产负债表!D50</f>
        <v>107</v>
      </c>
      <c r="G53" s="67">
        <f>资产负债表!E50</f>
        <v>175</v>
      </c>
      <c r="H53" s="67">
        <f>G53</f>
        <v>175</v>
      </c>
      <c r="I53" s="67">
        <f t="shared" ref="I53:L53" si="17">H53</f>
        <v>175</v>
      </c>
      <c r="J53" s="67">
        <f t="shared" si="17"/>
        <v>175</v>
      </c>
      <c r="K53" s="67">
        <f t="shared" si="17"/>
        <v>175</v>
      </c>
      <c r="L53" s="67">
        <f t="shared" si="17"/>
        <v>175</v>
      </c>
      <c r="M53" s="90"/>
      <c r="N53" s="67"/>
      <c r="O53" s="67"/>
      <c r="P53" s="67"/>
      <c r="Q53" s="210"/>
    </row>
    <row r="54" spans="1:17" ht="24.95" customHeight="1" x14ac:dyDescent="0.15">
      <c r="B54" s="177"/>
      <c r="C54" s="85" t="s">
        <v>315</v>
      </c>
      <c r="D54" s="67">
        <f>资产负债表!B51</f>
        <v>719228</v>
      </c>
      <c r="E54" s="67">
        <f>资产负债表!C51</f>
        <v>802017</v>
      </c>
      <c r="F54" s="67">
        <f>资产负债表!D51</f>
        <v>1088978</v>
      </c>
      <c r="G54" s="67">
        <f>资产负债表!E51</f>
        <v>8624797</v>
      </c>
      <c r="H54" s="67">
        <f>资产负债假设!I41</f>
        <v>10435446.447625754</v>
      </c>
      <c r="I54" s="67">
        <f>资产负债假设!J41</f>
        <v>12710075.419954844</v>
      </c>
      <c r="J54" s="67">
        <f>资产负债假设!K41</f>
        <v>15584265.341432797</v>
      </c>
      <c r="K54" s="67">
        <f>资产负债假设!L41</f>
        <v>19014005.037321962</v>
      </c>
      <c r="L54" s="67">
        <f>资产负债假设!M41</f>
        <v>22663186.083170768</v>
      </c>
      <c r="M54" s="90"/>
      <c r="N54" s="67"/>
      <c r="O54" s="67"/>
      <c r="P54" s="67"/>
      <c r="Q54" s="210"/>
    </row>
    <row r="55" spans="1:17" ht="24.95" customHeight="1" x14ac:dyDescent="0.15">
      <c r="A55" s="79"/>
      <c r="B55" s="177"/>
      <c r="C55" s="337" t="s">
        <v>316</v>
      </c>
      <c r="D55" s="67">
        <f>资产负债表!B52</f>
        <v>437690</v>
      </c>
      <c r="E55" s="67">
        <f>资产负债表!C52</f>
        <v>269723</v>
      </c>
      <c r="F55" s="67">
        <f>资产负债表!D52</f>
        <v>1896</v>
      </c>
      <c r="G55" s="67">
        <f>资产负债表!E52</f>
        <v>4586</v>
      </c>
      <c r="H55" s="67">
        <f>IS!H32+G55</f>
        <v>8812.857699403321</v>
      </c>
      <c r="I55" s="67">
        <f>IS!I32+H55</f>
        <v>14122.849093696845</v>
      </c>
      <c r="J55" s="67">
        <f>IS!J32+I55</f>
        <v>20832.481272955411</v>
      </c>
      <c r="K55" s="67">
        <f>IS!K32+J55</f>
        <v>28839.012663958671</v>
      </c>
      <c r="L55" s="67">
        <f>IS!L32+K55</f>
        <v>37357.81735052482</v>
      </c>
      <c r="M55" s="93" t="s">
        <v>82</v>
      </c>
      <c r="N55" s="83"/>
      <c r="O55" s="83"/>
      <c r="P55" s="83"/>
      <c r="Q55" s="210" t="s">
        <v>82</v>
      </c>
    </row>
    <row r="56" spans="1:17" ht="24.95" customHeight="1" x14ac:dyDescent="0.15">
      <c r="B56" s="177"/>
      <c r="C56" s="86" t="s">
        <v>118</v>
      </c>
      <c r="D56" s="67">
        <f>D50-D51</f>
        <v>0</v>
      </c>
      <c r="E56" s="67">
        <f t="shared" ref="E56:L56" si="18">E50-E51</f>
        <v>0</v>
      </c>
      <c r="F56" s="67">
        <f t="shared" si="18"/>
        <v>0</v>
      </c>
      <c r="G56" s="67">
        <f t="shared" si="18"/>
        <v>0</v>
      </c>
      <c r="H56" s="67">
        <f t="shared" si="18"/>
        <v>0</v>
      </c>
      <c r="I56" s="67">
        <f t="shared" si="18"/>
        <v>0</v>
      </c>
      <c r="J56" s="67">
        <f t="shared" si="18"/>
        <v>0</v>
      </c>
      <c r="K56" s="67">
        <f t="shared" si="18"/>
        <v>0</v>
      </c>
      <c r="L56" s="67">
        <f t="shared" si="18"/>
        <v>0</v>
      </c>
      <c r="M56" s="90"/>
      <c r="N56" s="67" t="e">
        <f>#REF!-N32</f>
        <v>#REF!</v>
      </c>
      <c r="O56" s="67" t="e">
        <f>#REF!-O32</f>
        <v>#REF!</v>
      </c>
      <c r="P56" s="67" t="e">
        <f>#REF!-P32</f>
        <v>#REF!</v>
      </c>
      <c r="Q56" s="210"/>
    </row>
    <row r="57" spans="1:17" ht="24.95" customHeight="1" x14ac:dyDescent="0.15">
      <c r="B57" s="177"/>
      <c r="C57" s="437"/>
      <c r="D57" s="438"/>
      <c r="E57" s="438"/>
      <c r="F57" s="438"/>
      <c r="G57" s="438"/>
      <c r="H57" s="438"/>
      <c r="I57" s="438"/>
      <c r="J57" s="438"/>
      <c r="K57" s="438"/>
      <c r="L57" s="439"/>
      <c r="M57" s="90"/>
      <c r="N57" s="67"/>
      <c r="O57" s="67"/>
      <c r="P57" s="67"/>
      <c r="Q57" s="210"/>
    </row>
    <row r="58" spans="1:17" ht="24.95" customHeight="1" x14ac:dyDescent="0.15">
      <c r="B58" s="177"/>
      <c r="C58" s="22" t="s">
        <v>119</v>
      </c>
      <c r="D58" s="88">
        <f>(D22-D30)-(D31-D41)</f>
        <v>-217952</v>
      </c>
      <c r="E58" s="88">
        <f t="shared" ref="E58:L58" si="19">(E22-E30)-(E31-E41)</f>
        <v>-792519</v>
      </c>
      <c r="F58" s="88">
        <f t="shared" si="19"/>
        <v>-1438475</v>
      </c>
      <c r="G58" s="88">
        <f t="shared" si="19"/>
        <v>-1688625</v>
      </c>
      <c r="H58" s="88">
        <f t="shared" si="19"/>
        <v>-2714485.9405692248</v>
      </c>
      <c r="I58" s="88">
        <f t="shared" si="19"/>
        <v>-3227665.0258780075</v>
      </c>
      <c r="J58" s="88">
        <f t="shared" si="19"/>
        <v>-3890112.2606964214</v>
      </c>
      <c r="K58" s="88">
        <f t="shared" si="19"/>
        <v>-4400296.4130282328</v>
      </c>
      <c r="L58" s="88">
        <f t="shared" si="19"/>
        <v>-4421794.5132365786</v>
      </c>
      <c r="M58" s="90"/>
      <c r="N58" s="88">
        <f>(N17-N8)-(N44-N34)</f>
        <v>0</v>
      </c>
      <c r="O58" s="88">
        <f>(O17-O8)-(O44-O34)</f>
        <v>0</v>
      </c>
      <c r="P58" s="88">
        <f>(P17-P8)-(P44-P34)</f>
        <v>0</v>
      </c>
      <c r="Q58" s="210"/>
    </row>
    <row r="59" spans="1:17" ht="24.95" customHeight="1" x14ac:dyDescent="0.15">
      <c r="B59" s="177"/>
      <c r="C59" s="22" t="s">
        <v>120</v>
      </c>
      <c r="D59" s="89">
        <f>(D44+D31)/(D22+D8)</f>
        <v>0.51927642858151979</v>
      </c>
      <c r="E59" s="89">
        <f t="shared" ref="E59:L59" si="20">(E44+E31)/(E22+E8)</f>
        <v>0.610208752572719</v>
      </c>
      <c r="F59" s="89">
        <f t="shared" si="20"/>
        <v>0.70796785181318722</v>
      </c>
      <c r="G59" s="89">
        <f t="shared" si="20"/>
        <v>0.27753738642502751</v>
      </c>
      <c r="H59" s="89">
        <f t="shared" si="20"/>
        <v>0.33406522576549519</v>
      </c>
      <c r="I59" s="89">
        <f t="shared" si="20"/>
        <v>0.32856287670932127</v>
      </c>
      <c r="J59" s="89">
        <f t="shared" si="20"/>
        <v>0.32458952887317838</v>
      </c>
      <c r="K59" s="89">
        <f t="shared" si="20"/>
        <v>0.30855864296475144</v>
      </c>
      <c r="L59" s="89">
        <f t="shared" si="20"/>
        <v>0.27446378331566462</v>
      </c>
      <c r="M59" s="90"/>
      <c r="N59" s="89" t="e">
        <f>N50/#REF!</f>
        <v>#REF!</v>
      </c>
      <c r="O59" s="89" t="e">
        <f>O50/#REF!</f>
        <v>#REF!</v>
      </c>
      <c r="P59" s="89" t="e">
        <f>P50/#REF!</f>
        <v>#REF!</v>
      </c>
      <c r="Q59" s="210"/>
    </row>
    <row r="60" spans="1:17" ht="6" customHeight="1" x14ac:dyDescent="0.15">
      <c r="B60" s="177"/>
      <c r="C60" s="218"/>
      <c r="D60" s="210"/>
      <c r="E60" s="210"/>
      <c r="F60" s="210"/>
      <c r="G60" s="210"/>
      <c r="H60" s="210"/>
      <c r="I60" s="210"/>
      <c r="J60" s="210"/>
      <c r="K60" s="210"/>
      <c r="L60" s="210"/>
      <c r="M60" s="90"/>
      <c r="N60" s="90"/>
      <c r="O60" s="90"/>
      <c r="P60" s="90"/>
      <c r="Q60" s="210"/>
    </row>
    <row r="61" spans="1:17" x14ac:dyDescent="0.15"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1:17" x14ac:dyDescent="0.15"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x14ac:dyDescent="0.15">
      <c r="D63" s="91"/>
      <c r="E63" s="91"/>
      <c r="F63" s="91"/>
      <c r="G63" s="91"/>
      <c r="H63" s="91"/>
      <c r="I63" s="91"/>
      <c r="J63" s="91"/>
      <c r="K63" s="91"/>
      <c r="L63" s="91"/>
      <c r="M63" s="91">
        <f t="shared" ref="M63:P63" si="21">M56-L56</f>
        <v>0</v>
      </c>
      <c r="N63" s="91" t="e">
        <f t="shared" si="21"/>
        <v>#REF!</v>
      </c>
      <c r="O63" s="91" t="e">
        <f t="shared" si="21"/>
        <v>#REF!</v>
      </c>
      <c r="P63" s="91" t="e">
        <f t="shared" si="21"/>
        <v>#REF!</v>
      </c>
      <c r="Q63" s="91"/>
    </row>
    <row r="65" spans="4:16" x14ac:dyDescent="0.15">
      <c r="D65" s="96"/>
      <c r="E65" s="96"/>
      <c r="F65" s="96"/>
      <c r="G65" s="96"/>
      <c r="H65" s="96"/>
      <c r="N65" s="96"/>
      <c r="O65" s="96"/>
      <c r="P65" s="96"/>
    </row>
  </sheetData>
  <mergeCells count="1">
    <mergeCell ref="C57:L57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B1:S113"/>
  <sheetViews>
    <sheetView showGridLines="0" zoomScale="85" zoomScaleNormal="85" workbookViewId="0">
      <pane xSplit="4" ySplit="6" topLeftCell="E7" activePane="bottomRight" state="frozen"/>
      <selection pane="topRight"/>
      <selection pane="bottomLeft"/>
      <selection pane="bottomRight" activeCell="I112" sqref="I112"/>
    </sheetView>
  </sheetViews>
  <sheetFormatPr defaultColWidth="8.875" defaultRowHeight="13.5" x14ac:dyDescent="0.15"/>
  <cols>
    <col min="1" max="1" width="4.125" style="60" customWidth="1"/>
    <col min="2" max="2" width="0.875" style="61" customWidth="1"/>
    <col min="3" max="3" width="7" style="61" customWidth="1"/>
    <col min="4" max="4" width="37.125" style="61" customWidth="1"/>
    <col min="5" max="13" width="13.875" style="60" customWidth="1"/>
    <col min="14" max="14" width="0.5" style="60" hidden="1" customWidth="1"/>
    <col min="15" max="15" width="14.625" style="60" hidden="1" customWidth="1"/>
    <col min="16" max="16" width="13.875" style="60" hidden="1" customWidth="1"/>
    <col min="17" max="17" width="13.25" style="60" hidden="1" customWidth="1"/>
    <col min="18" max="18" width="0.875" style="60" customWidth="1"/>
    <col min="19" max="16384" width="8.875" style="60"/>
  </cols>
  <sheetData>
    <row r="1" spans="2:19" s="215" customFormat="1" ht="12" customHeight="1" x14ac:dyDescent="0.15">
      <c r="B1" s="229"/>
      <c r="C1" s="229"/>
      <c r="D1" s="229"/>
    </row>
    <row r="2" spans="2:19" s="211" customFormat="1" ht="12" customHeight="1" x14ac:dyDescent="0.15">
      <c r="C2" s="230"/>
      <c r="I2" s="198"/>
    </row>
    <row r="3" spans="2:19" s="211" customFormat="1" ht="12" customHeight="1" x14ac:dyDescent="0.15">
      <c r="C3" s="231"/>
      <c r="D3" s="213"/>
      <c r="E3" s="213"/>
      <c r="F3" s="213"/>
      <c r="G3" s="213"/>
      <c r="H3" s="213"/>
      <c r="I3" s="213"/>
      <c r="J3" s="214"/>
      <c r="K3" s="214"/>
      <c r="L3" s="214"/>
      <c r="M3" s="220"/>
      <c r="N3" s="214"/>
      <c r="O3" s="213"/>
      <c r="P3" s="213"/>
      <c r="Q3" s="213"/>
      <c r="R3" s="214"/>
      <c r="S3" s="214"/>
    </row>
    <row r="4" spans="2:19" s="58" customFormat="1" ht="15.6" customHeight="1" x14ac:dyDescent="0.15">
      <c r="C4" s="62"/>
      <c r="D4" s="63"/>
      <c r="E4" s="63"/>
      <c r="F4" s="63"/>
      <c r="G4" s="63"/>
      <c r="H4" s="63"/>
      <c r="I4" s="63"/>
      <c r="J4" s="71"/>
      <c r="K4" s="71"/>
      <c r="L4" s="71"/>
      <c r="M4" s="71"/>
      <c r="N4" s="71"/>
      <c r="O4" s="63"/>
      <c r="P4" s="63"/>
      <c r="Q4" s="63"/>
      <c r="R4" s="71"/>
      <c r="S4" s="71"/>
    </row>
    <row r="5" spans="2:19" s="58" customFormat="1" ht="6" customHeight="1" x14ac:dyDescent="0.15">
      <c r="B5" s="211"/>
      <c r="C5" s="231"/>
      <c r="D5" s="213"/>
      <c r="E5" s="213"/>
      <c r="F5" s="213"/>
      <c r="G5" s="213"/>
      <c r="H5" s="213"/>
      <c r="I5" s="213"/>
      <c r="J5" s="214"/>
      <c r="K5" s="214"/>
      <c r="L5" s="214"/>
      <c r="M5" s="214"/>
      <c r="N5" s="214"/>
      <c r="O5" s="213"/>
      <c r="P5" s="213"/>
      <c r="Q5" s="213"/>
      <c r="R5" s="214"/>
      <c r="S5" s="71"/>
    </row>
    <row r="6" spans="2:19" s="59" customFormat="1" ht="24.95" customHeight="1" x14ac:dyDescent="0.15">
      <c r="B6" s="229"/>
      <c r="C6" s="221" t="s">
        <v>446</v>
      </c>
      <c r="D6" s="221"/>
      <c r="E6" s="327">
        <v>2015</v>
      </c>
      <c r="F6" s="327">
        <v>2016</v>
      </c>
      <c r="G6" s="327">
        <v>2017</v>
      </c>
      <c r="H6" s="327">
        <v>2018</v>
      </c>
      <c r="I6" s="328" t="s">
        <v>23</v>
      </c>
      <c r="J6" s="328" t="s">
        <v>24</v>
      </c>
      <c r="K6" s="328" t="s">
        <v>25</v>
      </c>
      <c r="L6" s="328" t="s">
        <v>26</v>
      </c>
      <c r="M6" s="328" t="s">
        <v>27</v>
      </c>
      <c r="N6" s="72"/>
      <c r="O6" s="73" t="s">
        <v>114</v>
      </c>
      <c r="P6" s="73" t="s">
        <v>115</v>
      </c>
      <c r="Q6" s="73" t="s">
        <v>116</v>
      </c>
      <c r="R6" s="232"/>
    </row>
    <row r="7" spans="2:19" ht="24.95" customHeight="1" x14ac:dyDescent="0.15">
      <c r="B7" s="229"/>
      <c r="C7" s="66"/>
      <c r="D7" s="65" t="s">
        <v>317</v>
      </c>
      <c r="E7" s="67">
        <f>现金流量表!B5</f>
        <v>560108</v>
      </c>
      <c r="F7" s="67">
        <f>现金流量表!C5</f>
        <v>1345877</v>
      </c>
      <c r="G7" s="67">
        <f>现金流量表!D5</f>
        <v>1625050</v>
      </c>
      <c r="H7" s="67">
        <f>现金流量表!E5</f>
        <v>2261830</v>
      </c>
      <c r="I7" s="67">
        <f>IS!H23</f>
        <v>3544317.1613718132</v>
      </c>
      <c r="J7" s="67">
        <f>IS!I23</f>
        <v>4452549.6158027565</v>
      </c>
      <c r="K7" s="67">
        <f>IS!J23</f>
        <v>5626180.5271551302</v>
      </c>
      <c r="L7" s="67">
        <f>IS!K23</f>
        <v>6713660.2720741928</v>
      </c>
      <c r="M7" s="67">
        <f>IS!L23</f>
        <v>7143213.1839293391</v>
      </c>
      <c r="N7" s="57"/>
      <c r="O7" s="67"/>
      <c r="P7" s="67"/>
      <c r="Q7" s="67"/>
      <c r="R7" s="215"/>
    </row>
    <row r="8" spans="2:19" ht="24.95" customHeight="1" x14ac:dyDescent="0.15">
      <c r="B8" s="229"/>
      <c r="C8" s="66"/>
      <c r="D8" s="66" t="s">
        <v>144</v>
      </c>
      <c r="E8" s="67">
        <f>现金流量表!B6</f>
        <v>3221</v>
      </c>
      <c r="F8" s="67">
        <f>现金流量表!C6</f>
        <v>8167</v>
      </c>
      <c r="G8" s="67">
        <f>现金流量表!D6</f>
        <v>8614</v>
      </c>
      <c r="H8" s="67">
        <f>现金流量表!E6</f>
        <v>31231</v>
      </c>
      <c r="I8" s="67"/>
      <c r="J8" s="67"/>
      <c r="K8" s="67"/>
      <c r="L8" s="67"/>
      <c r="M8" s="67"/>
      <c r="N8" s="57"/>
      <c r="O8" s="67"/>
      <c r="P8" s="67"/>
      <c r="Q8" s="67"/>
      <c r="R8" s="215"/>
    </row>
    <row r="9" spans="2:19" ht="24.95" customHeight="1" x14ac:dyDescent="0.15">
      <c r="B9" s="229"/>
      <c r="C9" s="66"/>
      <c r="D9" s="66" t="s">
        <v>143</v>
      </c>
      <c r="E9" s="67">
        <f>现金流量表!B7</f>
        <v>-2655</v>
      </c>
      <c r="F9" s="67">
        <f>现金流量表!C7</f>
        <v>-3710</v>
      </c>
      <c r="G9" s="67">
        <f>现金流量表!D7</f>
        <v>-4663</v>
      </c>
      <c r="H9" s="67">
        <f>现金流量表!E7</f>
        <v>-38252</v>
      </c>
      <c r="I9" s="67"/>
      <c r="J9" s="67"/>
      <c r="K9" s="67"/>
      <c r="L9" s="67"/>
      <c r="M9" s="67"/>
      <c r="N9" s="57"/>
      <c r="O9" s="67"/>
      <c r="P9" s="67"/>
      <c r="Q9" s="67"/>
      <c r="R9" s="215"/>
    </row>
    <row r="10" spans="2:19" ht="24.95" customHeight="1" x14ac:dyDescent="0.15">
      <c r="B10" s="229"/>
      <c r="C10" s="68"/>
      <c r="D10" s="66" t="s">
        <v>318</v>
      </c>
      <c r="E10" s="67">
        <f>现金流量表!B8</f>
        <v>0</v>
      </c>
      <c r="F10" s="67">
        <f>现金流量表!C8</f>
        <v>0</v>
      </c>
      <c r="G10" s="67">
        <f>现金流量表!D8</f>
        <v>0</v>
      </c>
      <c r="H10" s="67">
        <f>现金流量表!E8</f>
        <v>0</v>
      </c>
      <c r="I10" s="67"/>
      <c r="J10" s="67"/>
      <c r="K10" s="67"/>
      <c r="L10" s="67"/>
      <c r="M10" s="67"/>
      <c r="N10" s="57"/>
      <c r="O10" s="67"/>
      <c r="P10" s="67"/>
      <c r="Q10" s="67"/>
      <c r="R10" s="215"/>
    </row>
    <row r="11" spans="2:19" ht="24.95" customHeight="1" x14ac:dyDescent="0.15">
      <c r="B11" s="229"/>
      <c r="C11" s="330"/>
      <c r="D11" s="66" t="s">
        <v>319</v>
      </c>
      <c r="E11" s="67">
        <f>现金流量表!B9</f>
        <v>0</v>
      </c>
      <c r="F11" s="67">
        <f>现金流量表!C9</f>
        <v>0</v>
      </c>
      <c r="G11" s="67">
        <f>现金流量表!D9</f>
        <v>-482</v>
      </c>
      <c r="H11" s="67">
        <f>现金流量表!E9</f>
        <v>-30049</v>
      </c>
      <c r="I11" s="67"/>
      <c r="J11" s="67"/>
      <c r="K11" s="67"/>
      <c r="L11" s="67"/>
      <c r="M11" s="67"/>
      <c r="N11" s="57"/>
      <c r="O11" s="67"/>
      <c r="P11" s="67"/>
      <c r="Q11" s="67"/>
      <c r="R11" s="215"/>
    </row>
    <row r="12" spans="2:19" ht="24.95" customHeight="1" x14ac:dyDescent="0.15">
      <c r="B12" s="229"/>
      <c r="C12" s="330"/>
      <c r="D12" s="66" t="s">
        <v>320</v>
      </c>
      <c r="E12" s="67">
        <f>现金流量表!B10</f>
        <v>0</v>
      </c>
      <c r="F12" s="67">
        <f>现金流量表!C10</f>
        <v>0</v>
      </c>
      <c r="G12" s="67">
        <f>现金流量表!D10</f>
        <v>0</v>
      </c>
      <c r="H12" s="67">
        <f>现金流量表!E10</f>
        <v>2363</v>
      </c>
      <c r="I12" s="67"/>
      <c r="J12" s="67"/>
      <c r="K12" s="67"/>
      <c r="L12" s="67"/>
      <c r="M12" s="67"/>
      <c r="N12" s="57"/>
      <c r="O12" s="67"/>
      <c r="P12" s="67"/>
      <c r="Q12" s="67"/>
      <c r="R12" s="215"/>
    </row>
    <row r="13" spans="2:19" ht="24.95" customHeight="1" x14ac:dyDescent="0.15">
      <c r="B13" s="229"/>
      <c r="C13" s="68"/>
      <c r="D13" s="66" t="s">
        <v>321</v>
      </c>
      <c r="E13" s="67">
        <f>现金流量表!B11</f>
        <v>2882</v>
      </c>
      <c r="F13" s="67">
        <f>现金流量表!C11</f>
        <v>3594</v>
      </c>
      <c r="G13" s="67">
        <f>现金流量表!D11</f>
        <v>10903</v>
      </c>
      <c r="H13" s="67">
        <f>现金流量表!E11</f>
        <v>4929</v>
      </c>
      <c r="I13" s="67"/>
      <c r="J13" s="67"/>
      <c r="K13" s="67"/>
      <c r="L13" s="67"/>
      <c r="M13" s="67"/>
      <c r="N13" s="57"/>
      <c r="O13" s="67"/>
      <c r="P13" s="67"/>
      <c r="Q13" s="67"/>
      <c r="R13" s="215"/>
    </row>
    <row r="14" spans="2:19" ht="24.95" customHeight="1" x14ac:dyDescent="0.15">
      <c r="B14" s="229"/>
      <c r="C14" s="68"/>
      <c r="D14" s="66" t="s">
        <v>250</v>
      </c>
      <c r="E14" s="67">
        <f>现金流量表!B12</f>
        <v>0</v>
      </c>
      <c r="F14" s="67">
        <f>现金流量表!C12</f>
        <v>0</v>
      </c>
      <c r="G14" s="67">
        <f>现金流量表!D12</f>
        <v>0</v>
      </c>
      <c r="H14" s="67">
        <f>现金流量表!E12</f>
        <v>689321</v>
      </c>
      <c r="I14" s="67"/>
      <c r="J14" s="67"/>
      <c r="K14" s="67"/>
      <c r="L14" s="67"/>
      <c r="M14" s="67"/>
      <c r="N14" s="57"/>
      <c r="O14" s="67"/>
      <c r="P14" s="67"/>
      <c r="Q14" s="67"/>
      <c r="R14" s="215"/>
    </row>
    <row r="15" spans="2:19" ht="24.95" customHeight="1" x14ac:dyDescent="0.15">
      <c r="B15" s="229"/>
      <c r="C15" s="68"/>
      <c r="D15" s="66" t="s">
        <v>322</v>
      </c>
      <c r="E15" s="67">
        <f>现金流量表!B13</f>
        <v>0</v>
      </c>
      <c r="F15" s="67">
        <f>现金流量表!C13</f>
        <v>0</v>
      </c>
      <c r="G15" s="67">
        <f>现金流量表!D13</f>
        <v>0</v>
      </c>
      <c r="H15" s="67">
        <f>现金流量表!E13</f>
        <v>0</v>
      </c>
      <c r="I15" s="67"/>
      <c r="J15" s="67"/>
      <c r="K15" s="67"/>
      <c r="L15" s="67"/>
      <c r="M15" s="67"/>
      <c r="N15" s="57"/>
      <c r="O15" s="67"/>
      <c r="P15" s="67"/>
      <c r="Q15" s="67"/>
      <c r="R15" s="215"/>
    </row>
    <row r="16" spans="2:19" ht="24.95" customHeight="1" x14ac:dyDescent="0.15">
      <c r="B16" s="229"/>
      <c r="C16" s="68"/>
      <c r="D16" s="66" t="s">
        <v>323</v>
      </c>
      <c r="E16" s="67">
        <f>现金流量表!B14</f>
        <v>236049</v>
      </c>
      <c r="F16" s="67">
        <f>现金流量表!C14</f>
        <v>281395</v>
      </c>
      <c r="G16" s="67">
        <f>现金流量表!D14</f>
        <v>355377</v>
      </c>
      <c r="H16" s="67">
        <f>现金流量表!E14</f>
        <v>0</v>
      </c>
      <c r="I16" s="67">
        <f>资本开支假设!G62</f>
        <v>1277687.8085369987</v>
      </c>
      <c r="J16" s="67">
        <f>资本开支假设!H62</f>
        <v>1590758.1958247493</v>
      </c>
      <c r="K16" s="67">
        <f>资本开支假设!I62</f>
        <v>1620918.6265387724</v>
      </c>
      <c r="L16" s="67">
        <f>资本开支假设!J62</f>
        <v>1492474.5944223767</v>
      </c>
      <c r="M16" s="67">
        <f>资本开支假设!K62</f>
        <v>1294270.9396406582</v>
      </c>
      <c r="N16" s="57"/>
      <c r="O16" s="67"/>
      <c r="P16" s="67"/>
      <c r="Q16" s="67"/>
      <c r="R16" s="215"/>
    </row>
    <row r="17" spans="2:18" ht="24.95" customHeight="1" x14ac:dyDescent="0.15">
      <c r="B17" s="229"/>
      <c r="C17" s="329"/>
      <c r="D17" s="66" t="s">
        <v>108</v>
      </c>
      <c r="E17" s="67">
        <f>现金流量表!B15</f>
        <v>3130</v>
      </c>
      <c r="F17" s="67">
        <f>现金流量表!C15</f>
        <v>4523</v>
      </c>
      <c r="G17" s="67">
        <f>现金流量表!D15</f>
        <v>4462</v>
      </c>
      <c r="H17" s="67">
        <f>现金流量表!E15</f>
        <v>0</v>
      </c>
      <c r="I17" s="67">
        <f>资本开支假设!G63</f>
        <v>82990.596092445281</v>
      </c>
      <c r="J17" s="67">
        <f>资本开支假设!H63</f>
        <v>199170.00926932532</v>
      </c>
      <c r="K17" s="67">
        <f>资本开支假设!I63</f>
        <v>261291.6314326842</v>
      </c>
      <c r="L17" s="67">
        <f>资本开支假设!J63</f>
        <v>260726.87360320764</v>
      </c>
      <c r="M17" s="67">
        <f>资本开支假设!K63</f>
        <v>237258.46968514647</v>
      </c>
      <c r="N17" s="57"/>
      <c r="O17" s="67"/>
      <c r="P17" s="67"/>
      <c r="Q17" s="67"/>
      <c r="R17" s="215"/>
    </row>
    <row r="18" spans="2:18" ht="24.95" customHeight="1" x14ac:dyDescent="0.15">
      <c r="B18" s="229"/>
      <c r="C18" s="329"/>
      <c r="D18" s="66" t="s">
        <v>324</v>
      </c>
      <c r="E18" s="67">
        <f>现金流量表!B16</f>
        <v>-2544</v>
      </c>
      <c r="F18" s="67">
        <f>现金流量表!C16</f>
        <v>-2957</v>
      </c>
      <c r="G18" s="67">
        <f>现金流量表!D16</f>
        <v>-24577</v>
      </c>
      <c r="H18" s="67">
        <f>现金流量表!E16</f>
        <v>-6803</v>
      </c>
      <c r="I18" s="67"/>
      <c r="J18" s="67"/>
      <c r="K18" s="67"/>
      <c r="L18" s="67"/>
      <c r="M18" s="67"/>
      <c r="N18" s="57"/>
      <c r="O18" s="67"/>
      <c r="P18" s="67"/>
      <c r="Q18" s="67"/>
      <c r="R18" s="215"/>
    </row>
    <row r="19" spans="2:18" ht="24.95" customHeight="1" x14ac:dyDescent="0.15">
      <c r="B19" s="229"/>
      <c r="C19" s="329"/>
      <c r="D19" s="66" t="s">
        <v>325</v>
      </c>
      <c r="E19" s="67">
        <f>现金流量表!B17</f>
        <v>-849</v>
      </c>
      <c r="F19" s="67">
        <f>现金流量表!C17</f>
        <v>-2348</v>
      </c>
      <c r="G19" s="67">
        <f>现金流量表!D17</f>
        <v>3742</v>
      </c>
      <c r="H19" s="67">
        <f>现金流量表!E17</f>
        <v>-7276</v>
      </c>
      <c r="I19" s="67"/>
      <c r="J19" s="67"/>
      <c r="K19" s="67"/>
      <c r="L19" s="67"/>
      <c r="M19" s="67"/>
      <c r="N19" s="57"/>
      <c r="O19" s="67"/>
      <c r="P19" s="67"/>
      <c r="Q19" s="67"/>
      <c r="R19" s="215"/>
    </row>
    <row r="20" spans="2:18" ht="24.95" customHeight="1" x14ac:dyDescent="0.15">
      <c r="B20" s="229"/>
      <c r="C20" s="65" t="s">
        <v>421</v>
      </c>
      <c r="D20" s="60"/>
      <c r="E20" s="67">
        <f>现金流量表!B18</f>
        <v>799342</v>
      </c>
      <c r="F20" s="67">
        <f>现金流量表!C18</f>
        <v>1634541</v>
      </c>
      <c r="G20" s="67">
        <f>现金流量表!D18</f>
        <v>1978426</v>
      </c>
      <c r="H20" s="67">
        <f>现金流量表!E18</f>
        <v>2907294</v>
      </c>
      <c r="I20" s="67">
        <f>SUM(I7:I19)</f>
        <v>4904995.5660012569</v>
      </c>
      <c r="J20" s="67">
        <f t="shared" ref="J20:M20" si="0">SUM(J7:J19)</f>
        <v>6242477.8208968304</v>
      </c>
      <c r="K20" s="67">
        <f t="shared" si="0"/>
        <v>7508390.7851265864</v>
      </c>
      <c r="L20" s="67">
        <f t="shared" si="0"/>
        <v>8466861.7400997765</v>
      </c>
      <c r="M20" s="67">
        <f t="shared" si="0"/>
        <v>8674742.5932551436</v>
      </c>
      <c r="N20" s="57"/>
      <c r="O20" s="67"/>
      <c r="P20" s="67"/>
      <c r="Q20" s="67"/>
      <c r="R20" s="215"/>
    </row>
    <row r="21" spans="2:18" ht="24.95" customHeight="1" x14ac:dyDescent="0.15">
      <c r="B21" s="229"/>
      <c r="C21" s="338"/>
      <c r="D21" s="66" t="s">
        <v>327</v>
      </c>
      <c r="E21" s="67">
        <f>现金流量表!B19</f>
        <v>-11925</v>
      </c>
      <c r="F21" s="67">
        <f>现金流量表!C19</f>
        <v>-8642</v>
      </c>
      <c r="G21" s="67">
        <f>现金流量表!D19</f>
        <v>-45411</v>
      </c>
      <c r="H21" s="67">
        <f>现金流量表!E19</f>
        <v>-362006</v>
      </c>
      <c r="I21" s="67">
        <f>BS!G23-BS!H23</f>
        <v>-259569.13180292095</v>
      </c>
      <c r="J21" s="67">
        <f>BS!H23-BS!I23</f>
        <v>-138423.87660545262</v>
      </c>
      <c r="K21" s="67">
        <f>BS!I23-BS!J23</f>
        <v>-178647.11503200396</v>
      </c>
      <c r="L21" s="67">
        <f>BS!J23-BS!K23</f>
        <v>-140546.09074858704</v>
      </c>
      <c r="M21" s="67">
        <f>BS!K23-BS!L23</f>
        <v>-15082.730924152071</v>
      </c>
      <c r="N21" s="57"/>
      <c r="O21" s="67"/>
      <c r="P21" s="67"/>
      <c r="Q21" s="67"/>
      <c r="R21" s="215"/>
    </row>
    <row r="22" spans="2:18" ht="24.95" customHeight="1" x14ac:dyDescent="0.15">
      <c r="B22" s="229"/>
      <c r="C22" s="341"/>
      <c r="D22" s="66" t="s">
        <v>328</v>
      </c>
      <c r="E22" s="67">
        <f>现金流量表!B20</f>
        <v>-8721</v>
      </c>
      <c r="F22" s="67">
        <f>现金流量表!C20</f>
        <v>-34057</v>
      </c>
      <c r="G22" s="67">
        <f>现金流量表!D20</f>
        <v>-109307</v>
      </c>
      <c r="H22" s="67">
        <f>现金流量表!E20</f>
        <v>0</v>
      </c>
      <c r="I22" s="443">
        <f>BS!G14-BS!H14+BS!G24-BS!H24+BS!G25-BS!H25+BS!G16-BS!H16</f>
        <v>-674148.61107966804</v>
      </c>
      <c r="J22" s="443">
        <f>BS!H14-BS!I14+BS!H24-BS!I24+BS!H25-BS!I25+BS!H16-BS!I16</f>
        <v>-357879.02551172266</v>
      </c>
      <c r="K22" s="443">
        <f>BS!I14-BS!J14+BS!I24-BS!J24+BS!I25-BS!J25+BS!I16-BS!J16</f>
        <v>-461803.75595475978</v>
      </c>
      <c r="L22" s="443">
        <f>BS!J14-BS!K14+BS!J24-BS!K24+BS!J25-BS!K25+BS!J16-BS!K16</f>
        <v>-370689.61256524257</v>
      </c>
      <c r="M22" s="443">
        <f>BS!K14-BS!L14+BS!K24-BS!L24+BS!K25-BS!L25+BS!K16-BS!L16</f>
        <v>-52150.654120568826</v>
      </c>
      <c r="N22" s="57"/>
      <c r="O22" s="67"/>
      <c r="P22" s="67"/>
      <c r="Q22" s="67"/>
      <c r="R22" s="215"/>
    </row>
    <row r="23" spans="2:18" ht="24.95" customHeight="1" x14ac:dyDescent="0.15">
      <c r="B23" s="229"/>
      <c r="C23" s="341"/>
      <c r="D23" s="66" t="s">
        <v>330</v>
      </c>
      <c r="E23" s="67">
        <f>现金流量表!B22</f>
        <v>0</v>
      </c>
      <c r="F23" s="67">
        <f>现金流量表!C22</f>
        <v>0</v>
      </c>
      <c r="G23" s="67">
        <f>现金流量表!D22</f>
        <v>0</v>
      </c>
      <c r="H23" s="67">
        <f>现金流量表!E22</f>
        <v>-335524</v>
      </c>
      <c r="I23" s="444"/>
      <c r="J23" s="444"/>
      <c r="K23" s="444"/>
      <c r="L23" s="444"/>
      <c r="M23" s="444"/>
      <c r="N23" s="57"/>
      <c r="O23" s="67"/>
      <c r="P23" s="67"/>
      <c r="Q23" s="67"/>
      <c r="R23" s="215"/>
    </row>
    <row r="24" spans="2:18" ht="24.95" customHeight="1" x14ac:dyDescent="0.15">
      <c r="B24" s="229"/>
      <c r="C24" s="343"/>
      <c r="D24" s="66" t="s">
        <v>331</v>
      </c>
      <c r="E24" s="67">
        <f>现金流量表!B23</f>
        <v>0</v>
      </c>
      <c r="F24" s="67">
        <f>现金流量表!C23</f>
        <v>0</v>
      </c>
      <c r="G24" s="67">
        <f>现金流量表!D23</f>
        <v>0</v>
      </c>
      <c r="H24" s="67">
        <f>现金流量表!E23</f>
        <v>0</v>
      </c>
      <c r="I24" s="444"/>
      <c r="J24" s="444"/>
      <c r="K24" s="444"/>
      <c r="L24" s="444"/>
      <c r="M24" s="444"/>
      <c r="N24" s="57"/>
      <c r="O24" s="66"/>
      <c r="P24" s="67"/>
      <c r="Q24" s="67"/>
      <c r="R24" s="215"/>
    </row>
    <row r="25" spans="2:18" ht="24.95" customHeight="1" x14ac:dyDescent="0.15">
      <c r="B25" s="229"/>
      <c r="C25" s="343"/>
      <c r="D25" s="66" t="s">
        <v>336</v>
      </c>
      <c r="E25" s="67">
        <f>现金流量表!B28</f>
        <v>0</v>
      </c>
      <c r="F25" s="67">
        <f>现金流量表!C28</f>
        <v>0</v>
      </c>
      <c r="G25" s="67">
        <f>现金流量表!D28</f>
        <v>0</v>
      </c>
      <c r="H25" s="67">
        <f>现金流量表!E28</f>
        <v>-201261</v>
      </c>
      <c r="I25" s="444"/>
      <c r="J25" s="444"/>
      <c r="K25" s="444"/>
      <c r="L25" s="444"/>
      <c r="M25" s="444"/>
      <c r="N25" s="57"/>
      <c r="O25" s="66"/>
      <c r="P25" s="67"/>
      <c r="Q25" s="67"/>
      <c r="R25" s="215"/>
    </row>
    <row r="26" spans="2:18" ht="24.95" customHeight="1" x14ac:dyDescent="0.15">
      <c r="B26" s="229"/>
      <c r="C26" s="343"/>
      <c r="D26" s="66" t="s">
        <v>335</v>
      </c>
      <c r="E26" s="67">
        <f>现金流量表!B27</f>
        <v>-277371</v>
      </c>
      <c r="F26" s="67">
        <f>现金流量表!C27</f>
        <v>-52827</v>
      </c>
      <c r="G26" s="67">
        <f>现金流量表!D27</f>
        <v>-194081</v>
      </c>
      <c r="H26" s="67">
        <f>现金流量表!E27</f>
        <v>0</v>
      </c>
      <c r="I26" s="445"/>
      <c r="J26" s="445"/>
      <c r="K26" s="445"/>
      <c r="L26" s="445"/>
      <c r="M26" s="445"/>
      <c r="N26" s="57"/>
      <c r="O26" s="66"/>
      <c r="P26" s="67"/>
      <c r="Q26" s="67"/>
      <c r="R26" s="215"/>
    </row>
    <row r="27" spans="2:18" ht="24.95" customHeight="1" x14ac:dyDescent="0.15">
      <c r="B27" s="229"/>
      <c r="C27" s="346"/>
      <c r="D27" s="66" t="s">
        <v>329</v>
      </c>
      <c r="E27" s="67">
        <f>现金流量表!B21</f>
        <v>5853</v>
      </c>
      <c r="F27" s="67">
        <f>现金流量表!C21</f>
        <v>19496</v>
      </c>
      <c r="G27" s="67">
        <f>现金流量表!D21</f>
        <v>48951</v>
      </c>
      <c r="H27" s="67">
        <f>现金流量表!E21</f>
        <v>560609</v>
      </c>
      <c r="I27" s="443">
        <f>BS!H32-BS!G32+BS!H33-BS!G33+BS!H34-BS!G34+BS!H36-BS!G36+BS!H37-BS!G37+BS!H40-BS!G40+BS!H45-BS!G45+BS!H46-BS!G46</f>
        <v>1417316.7618914896</v>
      </c>
      <c r="J27" s="443">
        <f>BS!I32-BS!H32+BS!I33-BS!H33+BS!I34-BS!H34+BS!I36-BS!H36+BS!I37-BS!H37+BS!I40-BS!H40+BS!I45-BS!H45+BS!I46-BS!H46</f>
        <v>749036.03051241196</v>
      </c>
      <c r="K27" s="443">
        <f>BS!J32-BS!I32+BS!J33-BS!I33+BS!J34-BS!I34+BS!J36-BS!I36+BS!J37-BS!I37+BS!J40-BS!I40+BS!J45-BS!I45+BS!J46-BS!I46</f>
        <v>966796.53168210224</v>
      </c>
      <c r="L27" s="443">
        <f>BS!K32-BS!J32+BS!K33-BS!J33+BS!K34-BS!J34+BS!K36-BS!J36+BS!K37-BS!J37+BS!K40-BS!J40+BS!K45-BS!J45+BS!K46-BS!J46</f>
        <v>772267.43349854823</v>
      </c>
      <c r="M27" s="443">
        <f>BS!L32-BS!K32+BS!L33-BS!K33+BS!L34-BS!K34+BS!L36-BS!K36+BS!L37-BS!K37+BS!L40-BS!K40+BS!L45-BS!K45+BS!L46-BS!K46</f>
        <v>105106.90992972226</v>
      </c>
      <c r="N27" s="67" t="e">
        <f>BS!#REF!-BS!#REF!+BS!L16-BS!M16+BS!L30-BS!M30+BS!M47-BS!L47</f>
        <v>#REF!</v>
      </c>
      <c r="O27" s="67" t="e">
        <f>BS!#REF!-BS!#REF!+BS!M16-BS!N16+BS!M30-BS!N30+BS!N47-BS!M47</f>
        <v>#REF!</v>
      </c>
      <c r="P27" s="67" t="e">
        <f>BS!#REF!-BS!#REF!+BS!N16-BS!O16+BS!N30-BS!O30+BS!O47-BS!N47</f>
        <v>#REF!</v>
      </c>
      <c r="Q27" s="67" t="e">
        <f>BS!#REF!-BS!#REF!+BS!O16-BS!P16+BS!O30-BS!P30+BS!P47-BS!O47</f>
        <v>#REF!</v>
      </c>
      <c r="R27" s="215"/>
    </row>
    <row r="28" spans="2:18" ht="24.95" customHeight="1" x14ac:dyDescent="0.15">
      <c r="B28" s="229"/>
      <c r="C28" s="342"/>
      <c r="D28" s="66" t="s">
        <v>333</v>
      </c>
      <c r="E28" s="67">
        <f>现金流量表!B25</f>
        <v>56480</v>
      </c>
      <c r="F28" s="67">
        <f>现金流量表!C25</f>
        <v>86914</v>
      </c>
      <c r="G28" s="67">
        <f>现金流量表!D25</f>
        <v>150812</v>
      </c>
      <c r="H28" s="67">
        <f>现金流量表!E25</f>
        <v>255879</v>
      </c>
      <c r="I28" s="444"/>
      <c r="J28" s="444"/>
      <c r="K28" s="444"/>
      <c r="L28" s="444"/>
      <c r="M28" s="444"/>
      <c r="N28" s="57"/>
      <c r="O28" s="66"/>
      <c r="P28" s="67"/>
      <c r="Q28" s="67"/>
      <c r="R28" s="215"/>
    </row>
    <row r="29" spans="2:18" ht="24.95" customHeight="1" x14ac:dyDescent="0.15">
      <c r="B29" s="229"/>
      <c r="C29" s="342"/>
      <c r="D29" s="66" t="s">
        <v>339</v>
      </c>
      <c r="E29" s="67">
        <f>现金流量表!B31</f>
        <v>78500</v>
      </c>
      <c r="F29" s="67">
        <f>现金流量表!C31</f>
        <v>35710</v>
      </c>
      <c r="G29" s="67">
        <f>现金流量表!D31</f>
        <v>9685</v>
      </c>
      <c r="H29" s="67">
        <f>现金流量表!E31</f>
        <v>148886</v>
      </c>
      <c r="I29" s="445"/>
      <c r="J29" s="445"/>
      <c r="K29" s="445"/>
      <c r="L29" s="445"/>
      <c r="M29" s="445"/>
      <c r="N29" s="57"/>
      <c r="O29" s="66"/>
      <c r="P29" s="67"/>
      <c r="Q29" s="67"/>
      <c r="R29" s="215"/>
    </row>
    <row r="30" spans="2:18" ht="24.95" customHeight="1" x14ac:dyDescent="0.15">
      <c r="B30" s="229"/>
      <c r="C30" s="345"/>
      <c r="D30" s="66" t="s">
        <v>332</v>
      </c>
      <c r="E30" s="67">
        <f>现金流量表!B24</f>
        <v>0</v>
      </c>
      <c r="F30" s="67">
        <f>现金流量表!C24</f>
        <v>0</v>
      </c>
      <c r="G30" s="67">
        <f>现金流量表!D24</f>
        <v>0</v>
      </c>
      <c r="H30" s="67">
        <f>现金流量表!E24</f>
        <v>-111901</v>
      </c>
      <c r="I30" s="67">
        <f>BS!G18-BS!H18</f>
        <v>-137879.37230520224</v>
      </c>
      <c r="J30" s="67">
        <f>BS!H18-BS!I18</f>
        <v>-73194.744582693384</v>
      </c>
      <c r="K30" s="67">
        <f>BS!I18-BS!J18</f>
        <v>-94449.815593705163</v>
      </c>
      <c r="L30" s="67">
        <f>BS!J18-BS!K18</f>
        <v>-75814.813322391012</v>
      </c>
      <c r="M30" s="67">
        <f>BS!K18-BS!L18</f>
        <v>-10666.045048930682</v>
      </c>
      <c r="N30" s="57"/>
      <c r="O30" s="66"/>
      <c r="P30" s="67"/>
      <c r="Q30" s="67"/>
      <c r="R30" s="215"/>
    </row>
    <row r="31" spans="2:18" ht="24.95" customHeight="1" x14ac:dyDescent="0.15">
      <c r="B31" s="229"/>
      <c r="C31" s="330"/>
      <c r="D31" s="66" t="s">
        <v>334</v>
      </c>
      <c r="E31" s="67">
        <f>现金流量表!B26</f>
        <v>3096</v>
      </c>
      <c r="F31" s="67">
        <f>现金流量表!C26</f>
        <v>441</v>
      </c>
      <c r="G31" s="67">
        <f>现金流量表!D26</f>
        <v>-7510</v>
      </c>
      <c r="H31" s="67">
        <f>现金流量表!E26</f>
        <v>36161</v>
      </c>
      <c r="I31" s="67"/>
      <c r="J31" s="67"/>
      <c r="K31" s="67"/>
      <c r="L31" s="67"/>
      <c r="M31" s="67"/>
      <c r="N31" s="57"/>
      <c r="O31" s="66"/>
      <c r="P31" s="67"/>
      <c r="Q31" s="67"/>
      <c r="R31" s="215"/>
    </row>
    <row r="32" spans="2:18" ht="24.95" customHeight="1" x14ac:dyDescent="0.15">
      <c r="B32" s="229"/>
      <c r="C32" s="350"/>
      <c r="D32" s="66" t="s">
        <v>337</v>
      </c>
      <c r="E32" s="67">
        <f>现金流量表!B29</f>
        <v>673</v>
      </c>
      <c r="F32" s="67">
        <f>现金流量表!C29</f>
        <v>620</v>
      </c>
      <c r="G32" s="67">
        <f>现金流量表!D29</f>
        <v>1242</v>
      </c>
      <c r="H32" s="67">
        <f>现金流量表!E29</f>
        <v>3486</v>
      </c>
      <c r="I32" s="67">
        <f>BS!H49-BS!G49</f>
        <v>4430.5231191996845</v>
      </c>
      <c r="J32" s="67">
        <f>BS!I49-BS!H49</f>
        <v>2351.9907485487092</v>
      </c>
      <c r="K32" s="67">
        <f>BS!J49-BS!I49</f>
        <v>3034.9869207829925</v>
      </c>
      <c r="L32" s="67">
        <f>BS!K49-BS!J49</f>
        <v>2436.1822772091909</v>
      </c>
      <c r="M32" s="67">
        <f>BS!L49-BS!K49</f>
        <v>342.73552591397674</v>
      </c>
      <c r="N32" s="57"/>
      <c r="O32" s="66"/>
      <c r="P32" s="67"/>
      <c r="Q32" s="67"/>
      <c r="R32" s="215"/>
    </row>
    <row r="33" spans="2:18" ht="24.95" customHeight="1" x14ac:dyDescent="0.15">
      <c r="B33" s="229"/>
      <c r="C33" s="352"/>
      <c r="D33" s="66" t="s">
        <v>338</v>
      </c>
      <c r="E33" s="67">
        <f>现金流量表!B30</f>
        <v>155079</v>
      </c>
      <c r="F33" s="67">
        <f>现金流量表!C30</f>
        <v>28045</v>
      </c>
      <c r="G33" s="67">
        <f>现金流量表!D30</f>
        <v>35330</v>
      </c>
      <c r="H33" s="67">
        <f>现金流量表!E30</f>
        <v>69460</v>
      </c>
      <c r="I33" s="67">
        <f>BS!H39-BS!G39</f>
        <v>186144.55961480539</v>
      </c>
      <c r="J33" s="67">
        <f>BS!I39-BS!H39</f>
        <v>55001.261718935217</v>
      </c>
      <c r="K33" s="67">
        <f>BS!J39-BS!I39</f>
        <v>69849.985907385708</v>
      </c>
      <c r="L33" s="67">
        <f>BS!K39-BS!J39</f>
        <v>28145.882398751215</v>
      </c>
      <c r="M33" s="67">
        <f>BS!L39-BS!K39</f>
        <v>-59261.410129496595</v>
      </c>
      <c r="N33" s="57"/>
      <c r="O33" s="66"/>
      <c r="P33" s="67"/>
      <c r="Q33" s="67"/>
      <c r="R33" s="215"/>
    </row>
    <row r="34" spans="2:18" ht="24.95" customHeight="1" x14ac:dyDescent="0.15">
      <c r="B34" s="229"/>
      <c r="C34" s="65" t="s">
        <v>422</v>
      </c>
      <c r="D34" s="65"/>
      <c r="E34" s="67">
        <f>现金流量表!B32</f>
        <v>801006</v>
      </c>
      <c r="F34" s="67">
        <f>现金流量表!C32</f>
        <v>1710241</v>
      </c>
      <c r="G34" s="67">
        <f>现金流量表!D32</f>
        <v>1868137</v>
      </c>
      <c r="H34" s="67">
        <f>现金流量表!E32</f>
        <v>2971083</v>
      </c>
      <c r="I34" s="67">
        <f>SUM(I20:I33)</f>
        <v>5441290.2954389602</v>
      </c>
      <c r="J34" s="67">
        <f t="shared" ref="J34:M34" si="1">SUM(J20:J33)</f>
        <v>6479369.4571768576</v>
      </c>
      <c r="K34" s="67">
        <f t="shared" si="1"/>
        <v>7813171.603056388</v>
      </c>
      <c r="L34" s="67">
        <f t="shared" si="1"/>
        <v>8682660.7216380648</v>
      </c>
      <c r="M34" s="67">
        <f t="shared" si="1"/>
        <v>8643031.3984876331</v>
      </c>
      <c r="N34" s="57"/>
      <c r="O34" s="66"/>
      <c r="P34" s="67"/>
      <c r="Q34" s="67"/>
      <c r="R34" s="215"/>
    </row>
    <row r="35" spans="2:18" ht="24.95" customHeight="1" x14ac:dyDescent="0.15">
      <c r="B35" s="229"/>
      <c r="C35" s="68"/>
      <c r="D35" s="66" t="s">
        <v>341</v>
      </c>
      <c r="E35" s="67">
        <f>现金流量表!B33</f>
        <v>-159017</v>
      </c>
      <c r="F35" s="67">
        <f>现金流量表!C33</f>
        <v>-296180</v>
      </c>
      <c r="G35" s="67">
        <f>现金流量表!D33</f>
        <v>-468421</v>
      </c>
      <c r="H35" s="67">
        <f>现金流量表!E33</f>
        <v>-582690</v>
      </c>
      <c r="I35" s="67">
        <f>IS!H24</f>
        <v>-953448.23563561786</v>
      </c>
      <c r="J35" s="67">
        <f>IS!I24</f>
        <v>-1197769.663938334</v>
      </c>
      <c r="K35" s="67">
        <f>IS!J24</f>
        <v>-1513485.2928645106</v>
      </c>
      <c r="L35" s="67">
        <f>IS!K24</f>
        <v>-1806025.603698669</v>
      </c>
      <c r="M35" s="67">
        <f>IS!L24</f>
        <v>-1921578.5994587645</v>
      </c>
      <c r="N35" s="57"/>
      <c r="O35" s="67"/>
      <c r="P35" s="67"/>
      <c r="Q35" s="67"/>
      <c r="R35" s="215"/>
    </row>
    <row r="36" spans="2:18" ht="24.95" customHeight="1" x14ac:dyDescent="0.15">
      <c r="B36" s="229"/>
      <c r="C36" s="65" t="s">
        <v>423</v>
      </c>
      <c r="E36" s="67">
        <f>现金流量表!B34</f>
        <v>641989</v>
      </c>
      <c r="F36" s="67">
        <f>现金流量表!C34</f>
        <v>1414061</v>
      </c>
      <c r="G36" s="67">
        <f>现金流量表!D34</f>
        <v>1399716</v>
      </c>
      <c r="H36" s="67">
        <f>现金流量表!E34</f>
        <v>2388393</v>
      </c>
      <c r="I36" s="67">
        <f>I34+I35</f>
        <v>4487842.0598033424</v>
      </c>
      <c r="J36" s="67">
        <f t="shared" ref="J36:M36" si="2">J34+J35</f>
        <v>5281599.7932385234</v>
      </c>
      <c r="K36" s="67">
        <f t="shared" si="2"/>
        <v>6299686.3101918772</v>
      </c>
      <c r="L36" s="67">
        <f t="shared" si="2"/>
        <v>6876635.1179393958</v>
      </c>
      <c r="M36" s="67">
        <f t="shared" si="2"/>
        <v>6721452.7990288688</v>
      </c>
      <c r="N36" s="67">
        <f t="shared" ref="N36:Q36" si="3">N34+N35</f>
        <v>0</v>
      </c>
      <c r="O36" s="67">
        <f t="shared" si="3"/>
        <v>0</v>
      </c>
      <c r="P36" s="67">
        <f t="shared" si="3"/>
        <v>0</v>
      </c>
      <c r="Q36" s="67">
        <f t="shared" si="3"/>
        <v>0</v>
      </c>
      <c r="R36" s="215" t="s">
        <v>82</v>
      </c>
    </row>
    <row r="37" spans="2:18" ht="24.95" customHeight="1" x14ac:dyDescent="0.15">
      <c r="B37" s="229"/>
      <c r="C37" s="356"/>
      <c r="D37" s="66" t="s">
        <v>342</v>
      </c>
      <c r="E37" s="67">
        <f>现金流量表!B35</f>
        <v>12241</v>
      </c>
      <c r="F37" s="67">
        <f>现金流量表!C35</f>
        <v>5173</v>
      </c>
      <c r="G37" s="67">
        <f>现金流量表!D35</f>
        <v>8381</v>
      </c>
      <c r="H37" s="67">
        <f>现金流量表!E35</f>
        <v>25846</v>
      </c>
      <c r="I37" s="443">
        <f>-资本开支假设!G7</f>
        <v>-3120000</v>
      </c>
      <c r="J37" s="443">
        <f>-资本开支假设!H7</f>
        <v>-2160000</v>
      </c>
      <c r="K37" s="443">
        <f>-资本开支假设!I7</f>
        <v>-1284000</v>
      </c>
      <c r="L37" s="443">
        <f>-资本开支假设!J7</f>
        <v>-840000</v>
      </c>
      <c r="M37" s="443">
        <f>-资本开支假设!K7</f>
        <v>-420000</v>
      </c>
      <c r="N37" s="57"/>
      <c r="O37" s="66"/>
      <c r="P37" s="67"/>
      <c r="Q37" s="67"/>
      <c r="R37" s="215"/>
    </row>
    <row r="38" spans="2:18" ht="24.95" customHeight="1" x14ac:dyDescent="0.15">
      <c r="B38" s="229"/>
      <c r="C38" s="356"/>
      <c r="D38" s="66" t="s">
        <v>346</v>
      </c>
      <c r="E38" s="67">
        <f>现金流量表!B39</f>
        <v>-399925</v>
      </c>
      <c r="F38" s="67">
        <f>现金流量表!C39</f>
        <v>-429466</v>
      </c>
      <c r="G38" s="67">
        <f>现金流量表!D39</f>
        <v>-1242904</v>
      </c>
      <c r="H38" s="67">
        <f>现金流量表!E39</f>
        <v>-2511749</v>
      </c>
      <c r="I38" s="445"/>
      <c r="J38" s="445"/>
      <c r="K38" s="445"/>
      <c r="L38" s="445"/>
      <c r="M38" s="445"/>
      <c r="N38" s="57"/>
      <c r="O38" s="66"/>
      <c r="P38" s="67"/>
      <c r="Q38" s="67"/>
      <c r="R38" s="215"/>
    </row>
    <row r="39" spans="2:18" ht="24.95" customHeight="1" x14ac:dyDescent="0.15">
      <c r="B39" s="229"/>
      <c r="C39" s="360"/>
      <c r="D39" s="66" t="s">
        <v>363</v>
      </c>
      <c r="E39" s="67">
        <f>现金流量表!B56</f>
        <v>-12512</v>
      </c>
      <c r="F39" s="67">
        <f>现金流量表!C56</f>
        <v>-226</v>
      </c>
      <c r="G39" s="67">
        <f>现金流量表!D56</f>
        <v>-173</v>
      </c>
      <c r="H39" s="67">
        <f>现金流量表!E56</f>
        <v>-50806</v>
      </c>
      <c r="I39" s="443">
        <f>-资本开支假设!G8+BS!G10-BS!H10</f>
        <v>-518350.62</v>
      </c>
      <c r="J39" s="443">
        <f>-资本开支假设!H8+BS!H10-BS!I10</f>
        <v>-518350.62</v>
      </c>
      <c r="K39" s="443">
        <f>-资本开支假设!I8+BS!I10-BS!J10</f>
        <v>-345567.08000000007</v>
      </c>
      <c r="L39" s="443">
        <f>-资本开支假设!J8+BS!J10-BS!K10</f>
        <v>-172783.54000000004</v>
      </c>
      <c r="M39" s="443">
        <f>-资本开支假设!K8+BS!K10-BS!L10</f>
        <v>-172783.54000000004</v>
      </c>
      <c r="N39" s="57"/>
      <c r="O39" s="66"/>
      <c r="P39" s="67"/>
      <c r="Q39" s="67"/>
      <c r="R39" s="215"/>
    </row>
    <row r="40" spans="2:18" ht="24.95" customHeight="1" x14ac:dyDescent="0.15">
      <c r="B40" s="229"/>
      <c r="C40" s="360"/>
      <c r="D40" s="66" t="s">
        <v>356</v>
      </c>
      <c r="E40" s="67">
        <f>现金流量表!B49</f>
        <v>0</v>
      </c>
      <c r="F40" s="67">
        <f>现金流量表!C49</f>
        <v>0</v>
      </c>
      <c r="G40" s="67">
        <f>现金流量表!D49</f>
        <v>0</v>
      </c>
      <c r="H40" s="67">
        <f>现金流量表!E49</f>
        <v>0</v>
      </c>
      <c r="I40" s="445"/>
      <c r="J40" s="445"/>
      <c r="K40" s="445"/>
      <c r="L40" s="445"/>
      <c r="M40" s="445"/>
      <c r="N40" s="57"/>
      <c r="O40" s="66"/>
      <c r="P40" s="67"/>
      <c r="Q40" s="67"/>
      <c r="R40" s="215"/>
    </row>
    <row r="41" spans="2:18" ht="24.95" customHeight="1" x14ac:dyDescent="0.15">
      <c r="B41" s="229"/>
      <c r="C41" s="355"/>
      <c r="D41" s="66" t="s">
        <v>343</v>
      </c>
      <c r="E41" s="67">
        <f>现金流量表!B36</f>
        <v>0</v>
      </c>
      <c r="F41" s="67">
        <f>现金流量表!C36</f>
        <v>0</v>
      </c>
      <c r="G41" s="67">
        <f>现金流量表!D36</f>
        <v>-4000</v>
      </c>
      <c r="H41" s="67">
        <f>现金流量表!E36</f>
        <v>0</v>
      </c>
      <c r="I41" s="443">
        <f>BS!G13-BS!H13+BS!G15-BS!H15</f>
        <v>-17002.895965915799</v>
      </c>
      <c r="J41" s="443">
        <f>BS!H13-BS!I13+BS!H15-BS!I15</f>
        <v>-5023.948768292561</v>
      </c>
      <c r="K41" s="443">
        <f>BS!I13-BS!J13+BS!I15-BS!J15</f>
        <v>-6380.267282920373</v>
      </c>
      <c r="L41" s="443">
        <f>BS!J13-BS!K13+BS!J15-BS!K15</f>
        <v>-2570.9132261784544</v>
      </c>
      <c r="M41" s="443">
        <f>BS!K13-BS!L13+BS!K15-BS!L15</f>
        <v>5413.0810661906435</v>
      </c>
      <c r="N41" s="57"/>
      <c r="O41" s="66"/>
      <c r="P41" s="67"/>
      <c r="Q41" s="67"/>
      <c r="R41" s="215"/>
    </row>
    <row r="42" spans="2:18" ht="24.95" customHeight="1" x14ac:dyDescent="0.15">
      <c r="B42" s="229"/>
      <c r="C42" s="355"/>
      <c r="D42" s="66" t="s">
        <v>355</v>
      </c>
      <c r="E42" s="67">
        <f>现金流量表!B48</f>
        <v>0</v>
      </c>
      <c r="F42" s="67">
        <f>现金流量表!C48</f>
        <v>0</v>
      </c>
      <c r="G42" s="67">
        <f>现金流量表!D48</f>
        <v>0</v>
      </c>
      <c r="H42" s="67">
        <f>现金流量表!E48</f>
        <v>-67694</v>
      </c>
      <c r="I42" s="445"/>
      <c r="J42" s="445"/>
      <c r="K42" s="445"/>
      <c r="L42" s="445"/>
      <c r="M42" s="445"/>
      <c r="N42" s="57"/>
      <c r="O42" s="66"/>
      <c r="P42" s="67"/>
      <c r="Q42" s="67"/>
      <c r="R42" s="215"/>
    </row>
    <row r="43" spans="2:18" ht="24.95" customHeight="1" x14ac:dyDescent="0.15">
      <c r="B43" s="229"/>
      <c r="C43" s="362"/>
      <c r="D43" s="66" t="s">
        <v>369</v>
      </c>
      <c r="E43" s="67">
        <f>现金流量表!B62</f>
        <v>0</v>
      </c>
      <c r="F43" s="67">
        <f>现金流量表!C62</f>
        <v>0</v>
      </c>
      <c r="G43" s="67">
        <f>现金流量表!D62</f>
        <v>0</v>
      </c>
      <c r="H43" s="67">
        <f>现金流量表!E62</f>
        <v>-1818748</v>
      </c>
      <c r="I43" s="443">
        <f>BS!G17-BS!H17+BS!G19-BS!H19+BS!G27-BS!H27+BS!G29-BS!H29</f>
        <v>-4654.0999999999967</v>
      </c>
      <c r="J43" s="443">
        <f>BS!H17-BS!I17+BS!H19-BS!I19+BS!H27-BS!I27+BS!H29-BS!I29</f>
        <v>-4835.8709999999883</v>
      </c>
      <c r="K43" s="443">
        <f>BS!I17-BS!J17+BS!I19-BS!J19+BS!I27-BS!J27+BS!I29-BS!J29</f>
        <v>-5025.1366349999917</v>
      </c>
      <c r="L43" s="443">
        <f>BS!J17-BS!K17+BS!J19-BS!K19+BS!J27-BS!K27+BS!J29-BS!K29</f>
        <v>-5222.2271762249839</v>
      </c>
      <c r="M43" s="443">
        <f>BS!K17-BS!L17+BS!K19-BS!L19+BS!K27-BS!L27+BS!K29-BS!L29</f>
        <v>-5427.4885319328696</v>
      </c>
      <c r="N43" s="57"/>
      <c r="O43" s="66"/>
      <c r="P43" s="67"/>
      <c r="Q43" s="67"/>
      <c r="R43" s="215"/>
    </row>
    <row r="44" spans="2:18" ht="24.95" customHeight="1" x14ac:dyDescent="0.15">
      <c r="B44" s="229"/>
      <c r="C44" s="362"/>
      <c r="D44" s="66" t="s">
        <v>370</v>
      </c>
      <c r="E44" s="67">
        <f>现金流量表!B63</f>
        <v>-1639</v>
      </c>
      <c r="F44" s="67">
        <f>现金流量表!C63</f>
        <v>-34500</v>
      </c>
      <c r="G44" s="67">
        <f>现金流量表!D63</f>
        <v>-46500</v>
      </c>
      <c r="H44" s="67">
        <f>现金流量表!E63</f>
        <v>-6833</v>
      </c>
      <c r="I44" s="444"/>
      <c r="J44" s="444"/>
      <c r="K44" s="444"/>
      <c r="L44" s="444"/>
      <c r="M44" s="444"/>
      <c r="N44" s="57"/>
      <c r="O44" s="66"/>
      <c r="P44" s="67"/>
      <c r="Q44" s="67"/>
      <c r="R44" s="215"/>
    </row>
    <row r="45" spans="2:18" ht="24.95" customHeight="1" x14ac:dyDescent="0.15">
      <c r="B45" s="229"/>
      <c r="C45" s="362"/>
      <c r="D45" s="66" t="s">
        <v>345</v>
      </c>
      <c r="E45" s="67">
        <f>现金流量表!B38</f>
        <v>0</v>
      </c>
      <c r="F45" s="67">
        <f>现金流量表!C38</f>
        <v>0</v>
      </c>
      <c r="G45" s="67">
        <f>现金流量表!D38</f>
        <v>35076</v>
      </c>
      <c r="H45" s="67">
        <f>现金流量表!E38</f>
        <v>46500</v>
      </c>
      <c r="I45" s="444"/>
      <c r="J45" s="444"/>
      <c r="K45" s="444"/>
      <c r="L45" s="444"/>
      <c r="M45" s="444"/>
      <c r="N45" s="57"/>
      <c r="O45" s="66"/>
      <c r="P45" s="67"/>
      <c r="Q45" s="67"/>
      <c r="R45" s="215"/>
    </row>
    <row r="46" spans="2:18" ht="24.95" customHeight="1" x14ac:dyDescent="0.15">
      <c r="B46" s="229"/>
      <c r="C46" s="362"/>
      <c r="D46" s="66" t="s">
        <v>350</v>
      </c>
      <c r="E46" s="67">
        <f>现金流量表!B43</f>
        <v>0</v>
      </c>
      <c r="F46" s="67">
        <f>现金流量表!C43</f>
        <v>0</v>
      </c>
      <c r="G46" s="67">
        <f>现金流量表!D43</f>
        <v>0</v>
      </c>
      <c r="H46" s="67">
        <f>现金流量表!E43</f>
        <v>21220</v>
      </c>
      <c r="I46" s="444"/>
      <c r="J46" s="444"/>
      <c r="K46" s="444"/>
      <c r="L46" s="444"/>
      <c r="M46" s="444"/>
      <c r="N46" s="57"/>
      <c r="O46" s="66"/>
      <c r="P46" s="67"/>
      <c r="Q46" s="67"/>
      <c r="R46" s="215"/>
    </row>
    <row r="47" spans="2:18" ht="24.95" customHeight="1" x14ac:dyDescent="0.15">
      <c r="B47" s="229"/>
      <c r="C47" s="362"/>
      <c r="D47" s="66" t="s">
        <v>359</v>
      </c>
      <c r="E47" s="67">
        <f>现金流量表!B52</f>
        <v>0</v>
      </c>
      <c r="F47" s="67">
        <f>现金流量表!C52</f>
        <v>0</v>
      </c>
      <c r="G47" s="67">
        <f>现金流量表!D52</f>
        <v>0</v>
      </c>
      <c r="H47" s="67">
        <f>现金流量表!E52</f>
        <v>0</v>
      </c>
      <c r="I47" s="444"/>
      <c r="J47" s="444"/>
      <c r="K47" s="444"/>
      <c r="L47" s="444"/>
      <c r="M47" s="444"/>
      <c r="N47" s="57"/>
      <c r="O47" s="66"/>
      <c r="P47" s="67"/>
      <c r="Q47" s="67"/>
      <c r="R47" s="215"/>
    </row>
    <row r="48" spans="2:18" ht="24.95" customHeight="1" x14ac:dyDescent="0.15">
      <c r="B48" s="229"/>
      <c r="C48" s="362"/>
      <c r="D48" s="66" t="s">
        <v>358</v>
      </c>
      <c r="E48" s="67">
        <f>现金流量表!B51</f>
        <v>0</v>
      </c>
      <c r="F48" s="67">
        <f>现金流量表!C51</f>
        <v>0</v>
      </c>
      <c r="G48" s="67">
        <f>现金流量表!D51</f>
        <v>0</v>
      </c>
      <c r="H48" s="67">
        <f>现金流量表!E51</f>
        <v>0</v>
      </c>
      <c r="I48" s="444"/>
      <c r="J48" s="444"/>
      <c r="K48" s="444"/>
      <c r="L48" s="444"/>
      <c r="M48" s="444"/>
      <c r="N48" s="57"/>
      <c r="O48" s="66"/>
      <c r="P48" s="67"/>
      <c r="Q48" s="67"/>
      <c r="R48" s="215"/>
    </row>
    <row r="49" spans="2:18" ht="24.95" customHeight="1" x14ac:dyDescent="0.15">
      <c r="B49" s="229"/>
      <c r="C49" s="362"/>
      <c r="D49" s="66" t="s">
        <v>360</v>
      </c>
      <c r="E49" s="67">
        <f>现金流量表!B53</f>
        <v>0</v>
      </c>
      <c r="F49" s="67">
        <f>现金流量表!C53</f>
        <v>0</v>
      </c>
      <c r="G49" s="67">
        <f>现金流量表!D53</f>
        <v>0</v>
      </c>
      <c r="H49" s="67">
        <f>现金流量表!E53</f>
        <v>0</v>
      </c>
      <c r="I49" s="445"/>
      <c r="J49" s="445"/>
      <c r="K49" s="445"/>
      <c r="L49" s="445"/>
      <c r="M49" s="445"/>
      <c r="N49" s="57"/>
      <c r="O49" s="66"/>
      <c r="P49" s="67"/>
      <c r="Q49" s="67"/>
      <c r="R49" s="215"/>
    </row>
    <row r="50" spans="2:18" ht="24.95" customHeight="1" x14ac:dyDescent="0.15">
      <c r="B50" s="229"/>
      <c r="C50" s="359"/>
      <c r="D50" s="66" t="s">
        <v>347</v>
      </c>
      <c r="E50" s="67">
        <f>现金流量表!B40</f>
        <v>-56494</v>
      </c>
      <c r="F50" s="67">
        <f>现金流量表!C40</f>
        <v>-841900</v>
      </c>
      <c r="G50" s="67">
        <f>现金流量表!D40</f>
        <v>-221609</v>
      </c>
      <c r="H50" s="67">
        <f>现金流量表!E40</f>
        <v>-12585</v>
      </c>
      <c r="I50" s="74">
        <f>BS!G20-BS!H20</f>
        <v>0</v>
      </c>
      <c r="J50" s="74">
        <f>BS!H20-BS!I20</f>
        <v>0</v>
      </c>
      <c r="K50" s="74">
        <f>BS!I20-BS!J20</f>
        <v>0</v>
      </c>
      <c r="L50" s="74">
        <f>BS!J20-BS!K20</f>
        <v>0</v>
      </c>
      <c r="M50" s="74">
        <f>BS!K20-BS!L20</f>
        <v>0</v>
      </c>
      <c r="N50" s="57"/>
      <c r="O50" s="66"/>
      <c r="P50" s="67"/>
      <c r="Q50" s="67"/>
      <c r="R50" s="215"/>
    </row>
    <row r="51" spans="2:18" ht="24.95" customHeight="1" x14ac:dyDescent="0.15">
      <c r="B51" s="229"/>
      <c r="C51" s="348"/>
      <c r="D51" s="66" t="s">
        <v>344</v>
      </c>
      <c r="E51" s="67">
        <f>现金流量表!B37</f>
        <v>-10657</v>
      </c>
      <c r="F51" s="67">
        <f>现金流量表!C37</f>
        <v>-27437</v>
      </c>
      <c r="G51" s="67">
        <f>现金流量表!D37</f>
        <v>-254121</v>
      </c>
      <c r="H51" s="67">
        <f>现金流量表!E37</f>
        <v>-77305</v>
      </c>
      <c r="I51" s="443">
        <f>BS!G26-BS!H26+BS!G28-BS!H28</f>
        <v>-86.099999999999682</v>
      </c>
      <c r="J51" s="443">
        <f>BS!H26-BS!I26+BS!H28-BS!I28</f>
        <v>-89.113499999999931</v>
      </c>
      <c r="K51" s="443">
        <f>BS!I26-BS!J26+BS!I28-BS!J28</f>
        <v>-92.232472499999744</v>
      </c>
      <c r="L51" s="443">
        <f>BS!J26-BS!K26+BS!J28-BS!K28</f>
        <v>-95.460609037499694</v>
      </c>
      <c r="M51" s="443">
        <f>BS!K26-BS!L26+BS!K28-BS!L28</f>
        <v>-98.801730353812218</v>
      </c>
      <c r="N51" s="57"/>
      <c r="O51" s="66"/>
      <c r="P51" s="67"/>
      <c r="Q51" s="67"/>
      <c r="R51" s="215"/>
    </row>
    <row r="52" spans="2:18" ht="24.95" customHeight="1" x14ac:dyDescent="0.15">
      <c r="B52" s="229"/>
      <c r="C52" s="348"/>
      <c r="D52" s="66" t="s">
        <v>354</v>
      </c>
      <c r="E52" s="67">
        <f>现金流量表!B47</f>
        <v>0</v>
      </c>
      <c r="F52" s="67">
        <f>现金流量表!C47</f>
        <v>0</v>
      </c>
      <c r="G52" s="67">
        <f>现金流量表!D47</f>
        <v>0</v>
      </c>
      <c r="H52" s="67">
        <f>现金流量表!E47</f>
        <v>0</v>
      </c>
      <c r="I52" s="444"/>
      <c r="J52" s="444"/>
      <c r="K52" s="444"/>
      <c r="L52" s="444"/>
      <c r="M52" s="444"/>
      <c r="N52" s="57"/>
      <c r="O52" s="66"/>
      <c r="P52" s="67"/>
      <c r="Q52" s="67"/>
      <c r="R52" s="215"/>
    </row>
    <row r="53" spans="2:18" ht="24.95" customHeight="1" x14ac:dyDescent="0.15">
      <c r="B53" s="229"/>
      <c r="C53" s="348"/>
      <c r="D53" s="66" t="s">
        <v>353</v>
      </c>
      <c r="E53" s="67">
        <f>现金流量表!B46</f>
        <v>4713</v>
      </c>
      <c r="F53" s="67">
        <f>现金流量表!C46</f>
        <v>26874</v>
      </c>
      <c r="G53" s="67">
        <f>现金流量表!D46</f>
        <v>246123</v>
      </c>
      <c r="H53" s="67">
        <f>现金流量表!E46</f>
        <v>92699</v>
      </c>
      <c r="I53" s="444"/>
      <c r="J53" s="444"/>
      <c r="K53" s="444"/>
      <c r="L53" s="444"/>
      <c r="M53" s="444"/>
      <c r="N53" s="57"/>
      <c r="O53" s="66"/>
      <c r="P53" s="67"/>
      <c r="Q53" s="67"/>
      <c r="R53" s="215"/>
    </row>
    <row r="54" spans="2:18" ht="24.95" customHeight="1" x14ac:dyDescent="0.15">
      <c r="B54" s="229"/>
      <c r="C54" s="348"/>
      <c r="D54" s="66" t="s">
        <v>349</v>
      </c>
      <c r="E54" s="67">
        <f>现金流量表!B42</f>
        <v>0</v>
      </c>
      <c r="F54" s="67">
        <f>现金流量表!C42</f>
        <v>0</v>
      </c>
      <c r="G54" s="67">
        <f>现金流量表!D42</f>
        <v>0</v>
      </c>
      <c r="H54" s="67">
        <f>现金流量表!E42</f>
        <v>0</v>
      </c>
      <c r="I54" s="444"/>
      <c r="J54" s="444"/>
      <c r="K54" s="444"/>
      <c r="L54" s="444"/>
      <c r="M54" s="444"/>
      <c r="N54" s="57"/>
      <c r="O54" s="66"/>
      <c r="P54" s="67"/>
      <c r="Q54" s="67"/>
      <c r="R54" s="215"/>
    </row>
    <row r="55" spans="2:18" ht="24.95" customHeight="1" x14ac:dyDescent="0.15">
      <c r="B55" s="229"/>
      <c r="C55" s="348"/>
      <c r="D55" s="66" t="s">
        <v>351</v>
      </c>
      <c r="E55" s="67">
        <f>现金流量表!B44</f>
        <v>590</v>
      </c>
      <c r="F55" s="67">
        <f>现金流量表!C44</f>
        <v>890047</v>
      </c>
      <c r="G55" s="67">
        <f>现金流量表!D44</f>
        <v>182162</v>
      </c>
      <c r="H55" s="67">
        <f>现金流量表!E44</f>
        <v>47846</v>
      </c>
      <c r="I55" s="444"/>
      <c r="J55" s="444"/>
      <c r="K55" s="444"/>
      <c r="L55" s="444"/>
      <c r="M55" s="444"/>
      <c r="N55" s="57"/>
      <c r="O55" s="66"/>
      <c r="P55" s="67"/>
      <c r="Q55" s="67"/>
      <c r="R55" s="215"/>
    </row>
    <row r="56" spans="2:18" ht="24.95" customHeight="1" x14ac:dyDescent="0.15">
      <c r="B56" s="229"/>
      <c r="C56" s="348"/>
      <c r="D56" s="66" t="s">
        <v>352</v>
      </c>
      <c r="E56" s="67">
        <f>现金流量表!B45</f>
        <v>0</v>
      </c>
      <c r="F56" s="67">
        <f>现金流量表!C45</f>
        <v>0</v>
      </c>
      <c r="G56" s="67">
        <f>现金流量表!D45</f>
        <v>0</v>
      </c>
      <c r="H56" s="67">
        <f>现金流量表!E45</f>
        <v>321</v>
      </c>
      <c r="I56" s="444"/>
      <c r="J56" s="444"/>
      <c r="K56" s="444"/>
      <c r="L56" s="444"/>
      <c r="M56" s="444"/>
      <c r="N56" s="57"/>
      <c r="O56" s="66"/>
      <c r="P56" s="67"/>
      <c r="Q56" s="67"/>
      <c r="R56" s="215"/>
    </row>
    <row r="57" spans="2:18" ht="24.95" customHeight="1" x14ac:dyDescent="0.15">
      <c r="B57" s="229"/>
      <c r="C57" s="348"/>
      <c r="D57" s="66" t="s">
        <v>348</v>
      </c>
      <c r="E57" s="67">
        <f>现金流量表!B41</f>
        <v>194</v>
      </c>
      <c r="F57" s="67">
        <f>现金流量表!C41</f>
        <v>398</v>
      </c>
      <c r="G57" s="67">
        <f>现金流量表!D41</f>
        <v>1250</v>
      </c>
      <c r="H57" s="67">
        <f>现金流量表!E41</f>
        <v>0</v>
      </c>
      <c r="I57" s="445"/>
      <c r="J57" s="445"/>
      <c r="K57" s="445"/>
      <c r="L57" s="445"/>
      <c r="M57" s="445"/>
      <c r="N57" s="57"/>
      <c r="O57" s="66"/>
      <c r="P57" s="67"/>
      <c r="Q57" s="67"/>
      <c r="R57" s="215"/>
    </row>
    <row r="58" spans="2:18" ht="24.95" customHeight="1" x14ac:dyDescent="0.15">
      <c r="B58" s="229"/>
      <c r="C58" s="330"/>
      <c r="D58" s="66" t="s">
        <v>368</v>
      </c>
      <c r="E58" s="67">
        <f>现金流量表!B61</f>
        <v>-836634</v>
      </c>
      <c r="F58" s="67">
        <f>现金流量表!C61</f>
        <v>-1575413</v>
      </c>
      <c r="G58" s="67">
        <f>现金流量表!D61</f>
        <v>-766751</v>
      </c>
      <c r="H58" s="67">
        <f>现金流量表!E61</f>
        <v>-4319</v>
      </c>
      <c r="I58" s="74"/>
      <c r="J58" s="74"/>
      <c r="K58" s="74"/>
      <c r="L58" s="74"/>
      <c r="M58" s="74"/>
      <c r="N58" s="57"/>
      <c r="O58" s="66"/>
      <c r="P58" s="67"/>
      <c r="Q58" s="67"/>
      <c r="R58" s="215"/>
    </row>
    <row r="59" spans="2:18" ht="24.95" customHeight="1" x14ac:dyDescent="0.15">
      <c r="B59" s="229"/>
      <c r="C59" s="330"/>
      <c r="D59" s="66" t="s">
        <v>362</v>
      </c>
      <c r="E59" s="67">
        <f>现金流量表!B55</f>
        <v>0</v>
      </c>
      <c r="F59" s="67">
        <f>现金流量表!C55</f>
        <v>0</v>
      </c>
      <c r="G59" s="67">
        <f>现金流量表!D55</f>
        <v>0</v>
      </c>
      <c r="H59" s="67">
        <f>现金流量表!E55</f>
        <v>0</v>
      </c>
      <c r="I59" s="74"/>
      <c r="J59" s="74"/>
      <c r="K59" s="74"/>
      <c r="L59" s="74"/>
      <c r="M59" s="74"/>
      <c r="N59" s="57"/>
      <c r="O59" s="66"/>
      <c r="P59" s="67"/>
      <c r="Q59" s="67"/>
      <c r="R59" s="215"/>
    </row>
    <row r="60" spans="2:18" ht="24.95" customHeight="1" x14ac:dyDescent="0.15">
      <c r="B60" s="229"/>
      <c r="C60" s="65"/>
      <c r="D60" s="66" t="s">
        <v>357</v>
      </c>
      <c r="E60" s="67">
        <f>现金流量表!B50</f>
        <v>0</v>
      </c>
      <c r="F60" s="67">
        <f>现金流量表!C50</f>
        <v>0</v>
      </c>
      <c r="G60" s="67">
        <f>现金流量表!D50</f>
        <v>0</v>
      </c>
      <c r="H60" s="67">
        <f>现金流量表!E50</f>
        <v>0</v>
      </c>
      <c r="I60" s="74"/>
      <c r="J60" s="74"/>
      <c r="K60" s="74"/>
      <c r="L60" s="74"/>
      <c r="M60" s="74"/>
      <c r="N60" s="57"/>
      <c r="O60" s="66"/>
      <c r="P60" s="67"/>
      <c r="Q60" s="67"/>
      <c r="R60" s="215"/>
    </row>
    <row r="61" spans="2:18" ht="24.95" customHeight="1" x14ac:dyDescent="0.15">
      <c r="B61" s="229"/>
      <c r="C61" s="65"/>
      <c r="D61" s="66" t="s">
        <v>364</v>
      </c>
      <c r="E61" s="67">
        <f>现金流量表!B57</f>
        <v>384203</v>
      </c>
      <c r="F61" s="67">
        <f>现金流量表!C57</f>
        <v>705574</v>
      </c>
      <c r="G61" s="67">
        <f>现金流量表!D57</f>
        <v>498211</v>
      </c>
      <c r="H61" s="67">
        <f>现金流量表!E57</f>
        <v>448532</v>
      </c>
      <c r="I61" s="74"/>
      <c r="J61" s="74"/>
      <c r="K61" s="74"/>
      <c r="L61" s="74"/>
      <c r="M61" s="74"/>
      <c r="N61" s="57"/>
      <c r="O61" s="66"/>
      <c r="P61" s="67"/>
      <c r="Q61" s="67"/>
      <c r="R61" s="215"/>
    </row>
    <row r="62" spans="2:18" ht="24.95" customHeight="1" x14ac:dyDescent="0.15">
      <c r="B62" s="229"/>
      <c r="C62" s="330"/>
      <c r="D62" s="66" t="s">
        <v>361</v>
      </c>
      <c r="E62" s="67">
        <f>现金流量表!B54</f>
        <v>0</v>
      </c>
      <c r="F62" s="67">
        <f>现金流量表!C54</f>
        <v>0</v>
      </c>
      <c r="G62" s="67">
        <f>现金流量表!D54</f>
        <v>0</v>
      </c>
      <c r="H62" s="67">
        <f>现金流量表!E54</f>
        <v>0</v>
      </c>
      <c r="I62" s="74"/>
      <c r="J62" s="74"/>
      <c r="K62" s="74"/>
      <c r="L62" s="74"/>
      <c r="M62" s="74"/>
      <c r="N62" s="57"/>
      <c r="O62" s="66"/>
      <c r="P62" s="67"/>
      <c r="Q62" s="67"/>
      <c r="R62" s="215"/>
    </row>
    <row r="63" spans="2:18" ht="24.95" customHeight="1" x14ac:dyDescent="0.15">
      <c r="B63" s="229"/>
      <c r="C63" s="65"/>
      <c r="D63" s="66" t="s">
        <v>365</v>
      </c>
      <c r="E63" s="67">
        <f>现金流量表!B58</f>
        <v>0</v>
      </c>
      <c r="F63" s="67">
        <f>现金流量表!C58</f>
        <v>0</v>
      </c>
      <c r="G63" s="67">
        <f>现金流量表!D58</f>
        <v>0</v>
      </c>
      <c r="H63" s="67">
        <f>现金流量表!E58</f>
        <v>0</v>
      </c>
      <c r="I63" s="74"/>
      <c r="J63" s="74"/>
      <c r="K63" s="74"/>
      <c r="L63" s="74"/>
      <c r="M63" s="74"/>
      <c r="N63" s="57"/>
      <c r="O63" s="66"/>
      <c r="P63" s="67"/>
      <c r="Q63" s="67"/>
      <c r="R63" s="215"/>
    </row>
    <row r="64" spans="2:18" ht="24.95" customHeight="1" x14ac:dyDescent="0.15">
      <c r="B64" s="229"/>
      <c r="C64" s="65"/>
      <c r="D64" s="66" t="s">
        <v>366</v>
      </c>
      <c r="E64" s="67">
        <f>现金流量表!B59</f>
        <v>0</v>
      </c>
      <c r="F64" s="67">
        <f>现金流量表!C59</f>
        <v>0</v>
      </c>
      <c r="G64" s="67">
        <f>现金流量表!D59</f>
        <v>0</v>
      </c>
      <c r="H64" s="67">
        <f>现金流量表!E59</f>
        <v>0</v>
      </c>
      <c r="I64" s="74"/>
      <c r="J64" s="74"/>
      <c r="K64" s="74"/>
      <c r="L64" s="74"/>
      <c r="M64" s="74"/>
      <c r="N64" s="57"/>
      <c r="O64" s="66"/>
      <c r="P64" s="67"/>
      <c r="Q64" s="67"/>
      <c r="R64" s="215"/>
    </row>
    <row r="65" spans="2:18" ht="24.95" customHeight="1" x14ac:dyDescent="0.15">
      <c r="B65" s="229"/>
      <c r="C65" s="65"/>
      <c r="D65" s="66" t="s">
        <v>367</v>
      </c>
      <c r="E65" s="67">
        <f>现金流量表!B60</f>
        <v>0</v>
      </c>
      <c r="F65" s="67">
        <f>现金流量表!C60</f>
        <v>0</v>
      </c>
      <c r="G65" s="67">
        <f>现金流量表!D60</f>
        <v>0</v>
      </c>
      <c r="H65" s="67">
        <f>现金流量表!E60</f>
        <v>0</v>
      </c>
      <c r="I65" s="74"/>
      <c r="J65" s="74"/>
      <c r="K65" s="74"/>
      <c r="L65" s="74"/>
      <c r="M65" s="74"/>
      <c r="N65" s="57"/>
      <c r="O65" s="66"/>
      <c r="P65" s="67"/>
      <c r="Q65" s="67"/>
      <c r="R65" s="215"/>
    </row>
    <row r="66" spans="2:18" ht="24.95" customHeight="1" x14ac:dyDescent="0.15">
      <c r="B66" s="229"/>
      <c r="C66" s="65" t="s">
        <v>424</v>
      </c>
      <c r="E66" s="67">
        <f>现金流量表!B64</f>
        <v>-915920</v>
      </c>
      <c r="F66" s="67">
        <f>现金流量表!C64</f>
        <v>-1280876</v>
      </c>
      <c r="G66" s="67">
        <f>现金流量表!D64</f>
        <v>-1564855</v>
      </c>
      <c r="H66" s="67">
        <f>现金流量表!E64</f>
        <v>-3867075</v>
      </c>
      <c r="I66" s="74">
        <f>SUM(I37:I65)</f>
        <v>-3660093.7159659159</v>
      </c>
      <c r="J66" s="74">
        <f t="shared" ref="J66:M66" si="4">SUM(J37:J65)</f>
        <v>-2688299.5532682925</v>
      </c>
      <c r="K66" s="74">
        <f t="shared" si="4"/>
        <v>-1641064.7163904204</v>
      </c>
      <c r="L66" s="74">
        <f t="shared" si="4"/>
        <v>-1020672.141011441</v>
      </c>
      <c r="M66" s="74">
        <f t="shared" si="4"/>
        <v>-592896.74919609609</v>
      </c>
      <c r="N66" s="57"/>
      <c r="O66" s="66"/>
      <c r="P66" s="67"/>
      <c r="Q66" s="67"/>
      <c r="R66" s="215"/>
    </row>
    <row r="67" spans="2:18" ht="24.95" customHeight="1" x14ac:dyDescent="0.15">
      <c r="B67" s="229"/>
      <c r="C67" s="364"/>
      <c r="D67" s="66" t="s">
        <v>375</v>
      </c>
      <c r="E67" s="67">
        <f>现金流量表!B69</f>
        <v>0</v>
      </c>
      <c r="F67" s="67">
        <f>现金流量表!C69</f>
        <v>0</v>
      </c>
      <c r="G67" s="67">
        <f>现金流量表!D69</f>
        <v>0</v>
      </c>
      <c r="H67" s="67">
        <f>现金流量表!E69</f>
        <v>0</v>
      </c>
      <c r="I67" s="443">
        <f>I105+BS!H41-BS!G41+BS!H47-BS!G47+BS!H48-BS!G48</f>
        <v>243091.70798984729</v>
      </c>
      <c r="J67" s="443">
        <f>J105+BS!I41-BS!H41+BS!I47-BS!H47+BS!I48-BS!H48</f>
        <v>129047.84217541863</v>
      </c>
      <c r="K67" s="443">
        <f>K105+BS!J41-BS!I41+BS!J47-BS!I47+BS!J48-BS!I48</f>
        <v>166522.13168752298</v>
      </c>
      <c r="L67" s="443">
        <f>L105+BS!K41-BS!J41+BS!K47-BS!J47+BS!K48-BS!J48</f>
        <v>133667.22050834354</v>
      </c>
      <c r="M67" s="443">
        <f>M105+BS!L41-BS!K41+BS!L47-BS!K47+BS!L48-BS!K48</f>
        <v>18805.039978727465</v>
      </c>
      <c r="N67" s="57"/>
      <c r="O67" s="66"/>
      <c r="P67" s="67"/>
      <c r="Q67" s="67"/>
      <c r="R67" s="215"/>
    </row>
    <row r="68" spans="2:18" ht="24.95" customHeight="1" x14ac:dyDescent="0.15">
      <c r="B68" s="229"/>
      <c r="C68" s="364"/>
      <c r="D68" s="66" t="s">
        <v>373</v>
      </c>
      <c r="E68" s="67">
        <f>现金流量表!B67</f>
        <v>234374</v>
      </c>
      <c r="F68" s="67">
        <f>现金流量表!C67</f>
        <v>269037</v>
      </c>
      <c r="G68" s="67">
        <f>现金流量表!D67</f>
        <v>42560</v>
      </c>
      <c r="H68" s="67">
        <f>现金流量表!E67</f>
        <v>889353</v>
      </c>
      <c r="I68" s="444"/>
      <c r="J68" s="444"/>
      <c r="K68" s="444"/>
      <c r="L68" s="444"/>
      <c r="M68" s="444"/>
      <c r="N68" s="57"/>
      <c r="O68" s="66"/>
      <c r="P68" s="67"/>
      <c r="Q68" s="67"/>
      <c r="R68" s="215"/>
    </row>
    <row r="69" spans="2:18" ht="24.95" customHeight="1" x14ac:dyDescent="0.15">
      <c r="B69" s="229"/>
      <c r="C69" s="364"/>
      <c r="D69" s="66" t="s">
        <v>371</v>
      </c>
      <c r="E69" s="67">
        <f>现金流量表!B65</f>
        <v>-76563</v>
      </c>
      <c r="F69" s="67">
        <f>现金流量表!C65</f>
        <v>-104866</v>
      </c>
      <c r="G69" s="67">
        <f>现金流量表!D65</f>
        <v>-263902</v>
      </c>
      <c r="H69" s="67">
        <f>现金流量表!E65</f>
        <v>-836219</v>
      </c>
      <c r="I69" s="445"/>
      <c r="J69" s="445"/>
      <c r="K69" s="445"/>
      <c r="L69" s="445"/>
      <c r="M69" s="445"/>
      <c r="N69" s="57"/>
      <c r="O69" s="66"/>
      <c r="P69" s="67"/>
      <c r="Q69" s="67"/>
      <c r="R69" s="215"/>
    </row>
    <row r="70" spans="2:18" ht="24.95" customHeight="1" x14ac:dyDescent="0.15">
      <c r="B70" s="229"/>
      <c r="C70" s="366"/>
      <c r="D70" s="66" t="s">
        <v>372</v>
      </c>
      <c r="E70" s="67">
        <f>现金流量表!B66</f>
        <v>0</v>
      </c>
      <c r="F70" s="67">
        <f>现金流量表!C66</f>
        <v>0</v>
      </c>
      <c r="G70" s="67">
        <f>现金流量表!D66</f>
        <v>0</v>
      </c>
      <c r="H70" s="67">
        <f>现金流量表!E66</f>
        <v>-460890</v>
      </c>
      <c r="I70" s="74">
        <f>-资产负债假设!I38+BS!H35-BS!G35</f>
        <v>-702625.66192532133</v>
      </c>
      <c r="J70" s="74">
        <f>-资产负债假设!J38+BS!I35-BS!H35</f>
        <v>-923134.03774586378</v>
      </c>
      <c r="K70" s="74">
        <f>-资产负债假设!K38+BS!J35-BS!I35</f>
        <v>-1164979.2229969506</v>
      </c>
      <c r="L70" s="74">
        <f>-资产负债假设!L38+BS!K35-BS!J35</f>
        <v>-1407976.6904725283</v>
      </c>
      <c r="M70" s="74">
        <f>-资产负债假设!M38+BS!L35-BS!K35</f>
        <v>-1539479.6828114095</v>
      </c>
      <c r="N70" s="57"/>
      <c r="O70" s="66"/>
      <c r="P70" s="67"/>
      <c r="Q70" s="67"/>
      <c r="R70" s="215"/>
    </row>
    <row r="71" spans="2:18" ht="24.95" customHeight="1" x14ac:dyDescent="0.15">
      <c r="B71" s="229"/>
      <c r="C71" s="65"/>
      <c r="D71" s="66" t="s">
        <v>374</v>
      </c>
      <c r="E71" s="67">
        <f>现金流量表!B68</f>
        <v>5357</v>
      </c>
      <c r="F71" s="67">
        <f>现金流量表!C68</f>
        <v>0</v>
      </c>
      <c r="G71" s="67">
        <f>现金流量表!D68</f>
        <v>1492260</v>
      </c>
      <c r="H71" s="67">
        <f>现金流量表!E68</f>
        <v>712688</v>
      </c>
      <c r="I71" s="74"/>
      <c r="J71" s="74"/>
      <c r="K71" s="74"/>
      <c r="L71" s="74"/>
      <c r="M71" s="74"/>
      <c r="N71" s="57"/>
      <c r="O71" s="66"/>
      <c r="P71" s="67"/>
      <c r="Q71" s="67"/>
      <c r="R71" s="215"/>
    </row>
    <row r="72" spans="2:18" ht="24.95" customHeight="1" x14ac:dyDescent="0.15">
      <c r="B72" s="229"/>
      <c r="C72" s="65"/>
      <c r="D72" s="66" t="s">
        <v>376</v>
      </c>
      <c r="E72" s="67">
        <f>现金流量表!B70</f>
        <v>0</v>
      </c>
      <c r="F72" s="67">
        <f>现金流量表!C70</f>
        <v>0</v>
      </c>
      <c r="G72" s="67">
        <f>现金流量表!D70</f>
        <v>0</v>
      </c>
      <c r="H72" s="67">
        <f>现金流量表!E70</f>
        <v>0</v>
      </c>
      <c r="I72" s="74"/>
      <c r="J72" s="74"/>
      <c r="K72" s="74"/>
      <c r="L72" s="74"/>
      <c r="M72" s="74"/>
      <c r="N72" s="57"/>
      <c r="O72" s="66"/>
      <c r="P72" s="67"/>
      <c r="Q72" s="67"/>
      <c r="R72" s="215"/>
    </row>
    <row r="73" spans="2:18" ht="24.95" customHeight="1" x14ac:dyDescent="0.15">
      <c r="B73" s="229"/>
      <c r="C73" s="65"/>
      <c r="D73" s="66" t="s">
        <v>377</v>
      </c>
      <c r="E73" s="67">
        <f>现金流量表!B71</f>
        <v>0</v>
      </c>
      <c r="F73" s="67">
        <f>现金流量表!C71</f>
        <v>0</v>
      </c>
      <c r="G73" s="67">
        <f>现金流量表!D71</f>
        <v>107</v>
      </c>
      <c r="H73" s="67">
        <f>现金流量表!E71</f>
        <v>6632014</v>
      </c>
      <c r="I73" s="74"/>
      <c r="J73" s="74"/>
      <c r="K73" s="74"/>
      <c r="L73" s="74"/>
      <c r="M73" s="74"/>
      <c r="N73" s="57"/>
      <c r="O73" s="66"/>
      <c r="P73" s="67"/>
      <c r="Q73" s="67"/>
      <c r="R73" s="215"/>
    </row>
    <row r="74" spans="2:18" ht="24.95" customHeight="1" x14ac:dyDescent="0.15">
      <c r="B74" s="229"/>
      <c r="C74" s="65"/>
      <c r="D74" s="66" t="s">
        <v>378</v>
      </c>
      <c r="E74" s="67">
        <f>现金流量表!B72</f>
        <v>0</v>
      </c>
      <c r="F74" s="67">
        <f>现金流量表!C72</f>
        <v>-56</v>
      </c>
      <c r="G74" s="67">
        <f>现金流量表!D72</f>
        <v>-796778</v>
      </c>
      <c r="H74" s="67">
        <f>现金流量表!E72</f>
        <v>-1428472</v>
      </c>
      <c r="I74" s="74"/>
      <c r="J74" s="74"/>
      <c r="K74" s="74"/>
      <c r="L74" s="74"/>
      <c r="M74" s="74"/>
      <c r="N74" s="57"/>
      <c r="O74" s="66"/>
      <c r="P74" s="67"/>
      <c r="Q74" s="67"/>
      <c r="R74" s="215"/>
    </row>
    <row r="75" spans="2:18" ht="24.95" customHeight="1" x14ac:dyDescent="0.15">
      <c r="B75" s="229"/>
      <c r="C75" s="65"/>
      <c r="D75" s="66" t="s">
        <v>379</v>
      </c>
      <c r="E75" s="67">
        <f>现金流量表!B73</f>
        <v>-13088</v>
      </c>
      <c r="F75" s="67">
        <f>现金流量表!C73</f>
        <v>-67</v>
      </c>
      <c r="G75" s="67">
        <f>现金流量表!D73</f>
        <v>-370623</v>
      </c>
      <c r="H75" s="67">
        <f>现金流量表!E73</f>
        <v>0</v>
      </c>
      <c r="I75" s="74"/>
      <c r="J75" s="74"/>
      <c r="K75" s="74"/>
      <c r="L75" s="74"/>
      <c r="M75" s="74"/>
      <c r="N75" s="57"/>
      <c r="O75" s="66"/>
      <c r="P75" s="67"/>
      <c r="Q75" s="67"/>
      <c r="R75" s="215"/>
    </row>
    <row r="76" spans="2:18" ht="24.95" customHeight="1" x14ac:dyDescent="0.15">
      <c r="B76" s="229"/>
      <c r="C76" s="330"/>
      <c r="D76" s="66" t="s">
        <v>380</v>
      </c>
      <c r="E76" s="67">
        <f>现金流量表!B74</f>
        <v>0</v>
      </c>
      <c r="F76" s="67">
        <f>现金流量表!C74</f>
        <v>0</v>
      </c>
      <c r="G76" s="67">
        <f>现金流量表!D74</f>
        <v>0</v>
      </c>
      <c r="H76" s="67">
        <f>现金流量表!E74</f>
        <v>0</v>
      </c>
      <c r="I76" s="74"/>
      <c r="J76" s="74"/>
      <c r="K76" s="74"/>
      <c r="L76" s="74"/>
      <c r="M76" s="74"/>
      <c r="N76" s="57"/>
      <c r="O76" s="66"/>
      <c r="P76" s="67"/>
      <c r="Q76" s="67"/>
      <c r="R76" s="215"/>
    </row>
    <row r="77" spans="2:18" ht="24.95" customHeight="1" x14ac:dyDescent="0.15">
      <c r="B77" s="229"/>
      <c r="C77" s="65"/>
      <c r="D77" s="66" t="s">
        <v>381</v>
      </c>
      <c r="E77" s="67">
        <f>现金流量表!B75</f>
        <v>0</v>
      </c>
      <c r="F77" s="67">
        <f>现金流量表!C75</f>
        <v>0</v>
      </c>
      <c r="G77" s="67">
        <f>现金流量表!D75</f>
        <v>0</v>
      </c>
      <c r="H77" s="67">
        <f>现金流量表!E75</f>
        <v>0</v>
      </c>
      <c r="I77" s="74"/>
      <c r="J77" s="74"/>
      <c r="K77" s="74"/>
      <c r="L77" s="74"/>
      <c r="M77" s="74"/>
      <c r="N77" s="57"/>
      <c r="O77" s="66"/>
      <c r="P77" s="67"/>
      <c r="Q77" s="67"/>
      <c r="R77" s="215"/>
    </row>
    <row r="78" spans="2:18" ht="24.95" customHeight="1" x14ac:dyDescent="0.15">
      <c r="B78" s="229"/>
      <c r="C78" s="65"/>
      <c r="D78" s="66" t="s">
        <v>382</v>
      </c>
      <c r="E78" s="67">
        <f>现金流量表!B76</f>
        <v>0</v>
      </c>
      <c r="F78" s="67">
        <f>现金流量表!C76</f>
        <v>0</v>
      </c>
      <c r="G78" s="67">
        <f>现金流量表!D76</f>
        <v>0</v>
      </c>
      <c r="H78" s="67">
        <f>现金流量表!E76</f>
        <v>-137264</v>
      </c>
      <c r="I78" s="74"/>
      <c r="J78" s="74"/>
      <c r="K78" s="74"/>
      <c r="L78" s="74"/>
      <c r="M78" s="74"/>
      <c r="N78" s="57"/>
      <c r="O78" s="66"/>
      <c r="P78" s="67"/>
      <c r="Q78" s="67"/>
      <c r="R78" s="215"/>
    </row>
    <row r="79" spans="2:18" ht="24.95" customHeight="1" x14ac:dyDescent="0.15">
      <c r="B79" s="229"/>
      <c r="C79" s="65"/>
      <c r="D79" s="66" t="s">
        <v>383</v>
      </c>
      <c r="E79" s="67">
        <f>现金流量表!B77</f>
        <v>11547</v>
      </c>
      <c r="F79" s="67">
        <f>现金流量表!C77</f>
        <v>1000</v>
      </c>
      <c r="G79" s="67">
        <f>现金流量表!D77</f>
        <v>10000</v>
      </c>
      <c r="H79" s="67">
        <f>现金流量表!E77</f>
        <v>0</v>
      </c>
      <c r="I79" s="74"/>
      <c r="J79" s="74"/>
      <c r="K79" s="74"/>
      <c r="L79" s="74"/>
      <c r="M79" s="74"/>
      <c r="N79" s="57"/>
      <c r="O79" s="66"/>
      <c r="P79" s="67"/>
      <c r="Q79" s="67"/>
      <c r="R79" s="215"/>
    </row>
    <row r="80" spans="2:18" ht="24.95" customHeight="1" x14ac:dyDescent="0.15">
      <c r="B80" s="229"/>
      <c r="C80" s="65"/>
      <c r="D80" s="66" t="s">
        <v>384</v>
      </c>
      <c r="E80" s="67">
        <f>现金流量表!B78</f>
        <v>-3036</v>
      </c>
      <c r="F80" s="67">
        <f>现金流量表!C78</f>
        <v>-7313</v>
      </c>
      <c r="G80" s="67">
        <f>现金流量表!D78</f>
        <v>-8681</v>
      </c>
      <c r="H80" s="67">
        <f>现金流量表!E78</f>
        <v>-31812</v>
      </c>
      <c r="I80" s="74"/>
      <c r="J80" s="74"/>
      <c r="K80" s="74"/>
      <c r="L80" s="74"/>
      <c r="M80" s="74"/>
      <c r="N80" s="57"/>
      <c r="O80" s="66"/>
      <c r="P80" s="67"/>
      <c r="Q80" s="67"/>
      <c r="R80" s="215"/>
    </row>
    <row r="81" spans="2:18" ht="24.95" customHeight="1" x14ac:dyDescent="0.15">
      <c r="B81" s="229"/>
      <c r="C81" s="65" t="s">
        <v>425</v>
      </c>
      <c r="E81" s="67">
        <f>现金流量表!B79</f>
        <v>158591</v>
      </c>
      <c r="F81" s="67">
        <f>现金流量表!C79</f>
        <v>157735</v>
      </c>
      <c r="G81" s="67">
        <f>现金流量表!D79</f>
        <v>104943</v>
      </c>
      <c r="H81" s="67">
        <f>现金流量表!E79</f>
        <v>5339398</v>
      </c>
      <c r="I81" s="74">
        <f>SUM(I67:I80)</f>
        <v>-459533.95393547404</v>
      </c>
      <c r="J81" s="74">
        <f t="shared" ref="J81:M81" si="5">SUM(J67:J80)</f>
        <v>-794086.19557044515</v>
      </c>
      <c r="K81" s="74">
        <f t="shared" si="5"/>
        <v>-998457.09130942763</v>
      </c>
      <c r="L81" s="74">
        <f t="shared" si="5"/>
        <v>-1274309.4699641848</v>
      </c>
      <c r="M81" s="74">
        <f t="shared" si="5"/>
        <v>-1520674.642832682</v>
      </c>
      <c r="N81" s="57"/>
      <c r="O81" s="66"/>
      <c r="P81" s="67"/>
      <c r="Q81" s="67"/>
      <c r="R81" s="215"/>
    </row>
    <row r="82" spans="2:18" ht="24.95" customHeight="1" x14ac:dyDescent="0.15">
      <c r="B82" s="229"/>
      <c r="C82" s="65"/>
      <c r="D82" s="65" t="s">
        <v>65</v>
      </c>
      <c r="E82" s="67">
        <f>现金流量表!B80</f>
        <v>-115340</v>
      </c>
      <c r="F82" s="67">
        <f>现金流量表!C80</f>
        <v>290920</v>
      </c>
      <c r="G82" s="67">
        <f>现金流量表!D80</f>
        <v>-60196</v>
      </c>
      <c r="H82" s="67">
        <f>现金流量表!E80</f>
        <v>3860716</v>
      </c>
      <c r="I82" s="74">
        <f>I81+I66+I36</f>
        <v>368214.38990195235</v>
      </c>
      <c r="J82" s="74">
        <f t="shared" ref="J82:M82" si="6">J81+J66+J36</f>
        <v>1799214.0443997858</v>
      </c>
      <c r="K82" s="74">
        <f t="shared" si="6"/>
        <v>3660164.5024920292</v>
      </c>
      <c r="L82" s="74">
        <f t="shared" si="6"/>
        <v>4581653.5069637699</v>
      </c>
      <c r="M82" s="74">
        <f t="shared" si="6"/>
        <v>4607881.4070000909</v>
      </c>
      <c r="N82" s="57"/>
      <c r="O82" s="66"/>
      <c r="P82" s="67"/>
      <c r="Q82" s="67"/>
      <c r="R82" s="215"/>
    </row>
    <row r="83" spans="2:18" ht="24.95" customHeight="1" x14ac:dyDescent="0.15">
      <c r="B83" s="229"/>
      <c r="C83" s="65"/>
      <c r="D83" s="66" t="s">
        <v>386</v>
      </c>
      <c r="E83" s="67">
        <f>现金流量表!B81</f>
        <v>-24140</v>
      </c>
      <c r="F83" s="67">
        <f>现金流量表!C81</f>
        <v>-41479</v>
      </c>
      <c r="G83" s="67">
        <f>现金流量表!D81</f>
        <v>-32307</v>
      </c>
      <c r="H83" s="67">
        <f>现金流量表!E81</f>
        <v>0</v>
      </c>
      <c r="I83" s="74"/>
      <c r="J83" s="74"/>
      <c r="K83" s="74"/>
      <c r="L83" s="74"/>
      <c r="M83" s="74"/>
      <c r="N83" s="57"/>
      <c r="O83" s="66"/>
      <c r="P83" s="67"/>
      <c r="Q83" s="67"/>
      <c r="R83" s="215"/>
    </row>
    <row r="84" spans="2:18" ht="24.95" customHeight="1" x14ac:dyDescent="0.15">
      <c r="B84" s="229"/>
      <c r="C84" s="65"/>
      <c r="D84" s="66" t="s">
        <v>387</v>
      </c>
      <c r="E84" s="67">
        <f>现金流量表!B82</f>
        <v>297128</v>
      </c>
      <c r="F84" s="67">
        <f>现金流量表!C82</f>
        <v>157595</v>
      </c>
      <c r="G84" s="67">
        <f>现金流量表!D82</f>
        <v>406876</v>
      </c>
      <c r="H84" s="67">
        <f>现金流量表!E82</f>
        <v>282032</v>
      </c>
      <c r="I84" s="67">
        <f>BS!G30</f>
        <v>4118623</v>
      </c>
      <c r="J84" s="67">
        <f>BS!H30</f>
        <v>4486837.3899019528</v>
      </c>
      <c r="K84" s="67">
        <f>BS!I30</f>
        <v>6286051.4343017386</v>
      </c>
      <c r="L84" s="67">
        <f>BS!J30</f>
        <v>9946215.9367937669</v>
      </c>
      <c r="M84" s="67">
        <f>BS!K30</f>
        <v>14527869.443757538</v>
      </c>
      <c r="N84" s="57"/>
      <c r="O84" s="66"/>
      <c r="P84" s="67"/>
      <c r="Q84" s="67"/>
      <c r="R84" s="215"/>
    </row>
    <row r="85" spans="2:18" ht="24.95" customHeight="1" x14ac:dyDescent="0.15">
      <c r="B85" s="229"/>
      <c r="C85" s="65"/>
      <c r="D85" s="66" t="s">
        <v>64</v>
      </c>
      <c r="E85" s="67">
        <f>现金流量表!B83</f>
        <v>-53</v>
      </c>
      <c r="F85" s="67">
        <f>现金流量表!C83</f>
        <v>-160</v>
      </c>
      <c r="G85" s="67">
        <f>现金流量表!D83</f>
        <v>-32341</v>
      </c>
      <c r="H85" s="67">
        <f>现金流量表!E83</f>
        <v>-24125</v>
      </c>
      <c r="I85" s="74"/>
      <c r="J85" s="74"/>
      <c r="K85" s="74"/>
      <c r="L85" s="74"/>
      <c r="M85" s="74"/>
      <c r="N85" s="57"/>
      <c r="O85" s="66"/>
      <c r="P85" s="67"/>
      <c r="Q85" s="67"/>
      <c r="R85" s="215"/>
    </row>
    <row r="86" spans="2:18" ht="24.95" customHeight="1" x14ac:dyDescent="0.15">
      <c r="B86" s="229"/>
      <c r="C86" s="65"/>
      <c r="D86" s="65" t="s">
        <v>388</v>
      </c>
      <c r="E86" s="67">
        <f>现金流量表!B84</f>
        <v>157595</v>
      </c>
      <c r="F86" s="67">
        <f>现金流量表!C84</f>
        <v>406876</v>
      </c>
      <c r="G86" s="67">
        <f>现金流量表!D84</f>
        <v>282032</v>
      </c>
      <c r="H86" s="67">
        <f>现金流量表!E84</f>
        <v>4118623</v>
      </c>
      <c r="I86" s="67">
        <f>I82+I83+I84+I85</f>
        <v>4486837.3899019528</v>
      </c>
      <c r="J86" s="67">
        <f t="shared" ref="J86:M86" si="7">J82+J83+J84+J85</f>
        <v>6286051.4343017386</v>
      </c>
      <c r="K86" s="67">
        <f t="shared" si="7"/>
        <v>9946215.9367937669</v>
      </c>
      <c r="L86" s="67">
        <f t="shared" si="7"/>
        <v>14527869.443757538</v>
      </c>
      <c r="M86" s="67">
        <f t="shared" si="7"/>
        <v>19135750.850757629</v>
      </c>
      <c r="N86" s="57"/>
      <c r="O86" s="66"/>
      <c r="P86" s="67"/>
      <c r="Q86" s="67"/>
      <c r="R86" s="215"/>
    </row>
    <row r="87" spans="2:18" ht="24.95" customHeight="1" x14ac:dyDescent="0.15">
      <c r="B87" s="229"/>
      <c r="C87" s="440"/>
      <c r="D87" s="441"/>
      <c r="E87" s="441"/>
      <c r="F87" s="441"/>
      <c r="G87" s="441"/>
      <c r="H87" s="441"/>
      <c r="I87" s="441"/>
      <c r="J87" s="441"/>
      <c r="K87" s="441"/>
      <c r="L87" s="441"/>
      <c r="M87" s="442"/>
      <c r="N87" s="57"/>
      <c r="R87" s="215"/>
    </row>
    <row r="88" spans="2:18" ht="24.95" customHeight="1" x14ac:dyDescent="0.15">
      <c r="B88" s="229"/>
      <c r="C88" s="65" t="s">
        <v>426</v>
      </c>
      <c r="D88" s="69"/>
      <c r="E88" s="69"/>
      <c r="F88" s="69"/>
      <c r="G88" s="69"/>
      <c r="H88" s="69"/>
      <c r="I88" s="67"/>
      <c r="J88" s="67"/>
      <c r="K88" s="67"/>
      <c r="L88" s="67" t="s">
        <v>82</v>
      </c>
      <c r="M88" s="67"/>
      <c r="N88" s="57"/>
      <c r="O88" s="69"/>
      <c r="P88" s="69"/>
      <c r="Q88" s="69"/>
      <c r="R88" s="215"/>
    </row>
    <row r="89" spans="2:18" ht="24.95" customHeight="1" x14ac:dyDescent="0.15">
      <c r="B89" s="229"/>
      <c r="C89" s="69"/>
      <c r="D89" s="70" t="s">
        <v>123</v>
      </c>
      <c r="E89" s="70"/>
      <c r="F89" s="70"/>
      <c r="G89" s="70"/>
      <c r="H89" s="70"/>
      <c r="I89" s="67"/>
      <c r="J89" s="67"/>
      <c r="K89" s="67"/>
      <c r="L89" s="67"/>
      <c r="M89" s="67"/>
      <c r="N89" s="57"/>
      <c r="O89" s="70"/>
      <c r="P89" s="70"/>
      <c r="Q89" s="70"/>
      <c r="R89" s="215"/>
    </row>
    <row r="90" spans="2:18" ht="24.95" customHeight="1" x14ac:dyDescent="0.15">
      <c r="B90" s="229"/>
      <c r="C90" s="69"/>
      <c r="D90" s="70" t="s">
        <v>124</v>
      </c>
      <c r="E90" s="70"/>
      <c r="F90" s="70"/>
      <c r="G90" s="70"/>
      <c r="H90" s="70"/>
      <c r="I90" s="67">
        <f>BS!G47</f>
        <v>0</v>
      </c>
      <c r="J90" s="67">
        <f>BS!H47</f>
        <v>0</v>
      </c>
      <c r="K90" s="67">
        <f>BS!I47</f>
        <v>0</v>
      </c>
      <c r="L90" s="67">
        <f>BS!J47</f>
        <v>0</v>
      </c>
      <c r="M90" s="67">
        <f>BS!K47</f>
        <v>0</v>
      </c>
      <c r="N90" s="57"/>
      <c r="O90" s="70"/>
      <c r="P90" s="70"/>
      <c r="Q90" s="70"/>
      <c r="R90" s="215"/>
    </row>
    <row r="91" spans="2:18" ht="24.95" customHeight="1" x14ac:dyDescent="0.15">
      <c r="B91" s="229"/>
      <c r="C91" s="69"/>
      <c r="D91" s="70" t="s">
        <v>125</v>
      </c>
      <c r="E91" s="70"/>
      <c r="F91" s="70"/>
      <c r="G91" s="70"/>
      <c r="H91" s="70"/>
      <c r="I91" s="67">
        <f>BS!H8*资产负债假设!$I$52-BS!G47</f>
        <v>0</v>
      </c>
      <c r="J91" s="67">
        <f>BS!I8*资产负债假设!$I$52-BS!H47</f>
        <v>0</v>
      </c>
      <c r="K91" s="67">
        <f>BS!J8*资产负债假设!$I$52-BS!I47</f>
        <v>0</v>
      </c>
      <c r="L91" s="67">
        <f>BS!K8*资产负债假设!$I$52-BS!J47</f>
        <v>0</v>
      </c>
      <c r="M91" s="67">
        <f>BS!L8*资产负债假设!$I$52-BS!K47</f>
        <v>0</v>
      </c>
      <c r="N91" s="75"/>
      <c r="O91" s="70"/>
      <c r="P91" s="70"/>
      <c r="Q91" s="70"/>
      <c r="R91" s="233"/>
    </row>
    <row r="92" spans="2:18" ht="24.95" customHeight="1" x14ac:dyDescent="0.15">
      <c r="B92" s="229"/>
      <c r="C92" s="69"/>
      <c r="D92" s="70" t="s">
        <v>126</v>
      </c>
      <c r="E92" s="70"/>
      <c r="F92" s="70"/>
      <c r="G92" s="70"/>
      <c r="H92" s="70"/>
      <c r="I92" s="67">
        <f t="shared" ref="I92:M92" si="8">I90+I91</f>
        <v>0</v>
      </c>
      <c r="J92" s="67">
        <f t="shared" si="8"/>
        <v>0</v>
      </c>
      <c r="K92" s="67">
        <f t="shared" si="8"/>
        <v>0</v>
      </c>
      <c r="L92" s="67">
        <f t="shared" si="8"/>
        <v>0</v>
      </c>
      <c r="M92" s="67">
        <f t="shared" si="8"/>
        <v>0</v>
      </c>
      <c r="N92" s="57"/>
      <c r="O92" s="70"/>
      <c r="P92" s="70"/>
      <c r="Q92" s="70"/>
      <c r="R92" s="215"/>
    </row>
    <row r="93" spans="2:18" ht="24.95" customHeight="1" x14ac:dyDescent="0.15">
      <c r="B93" s="229"/>
      <c r="C93" s="69"/>
      <c r="D93" s="70" t="s">
        <v>127</v>
      </c>
      <c r="E93" s="70"/>
      <c r="F93" s="70"/>
      <c r="G93" s="70"/>
      <c r="H93" s="70"/>
      <c r="I93" s="67">
        <f>资产负债假设!$I$53*(I90+I92)/2*资产负债假设!$I$55</f>
        <v>0</v>
      </c>
      <c r="J93" s="67">
        <f>资产负债假设!$I$53*(J90+J92)/2*资产负债假设!$I$55</f>
        <v>0</v>
      </c>
      <c r="K93" s="67">
        <f>资产负债假设!$I$53*(K90+K92)/2*资产负债假设!$I$55</f>
        <v>0</v>
      </c>
      <c r="L93" s="67">
        <f>资产负债假设!$I$53*(L90+L92)/2*资产负债假设!$I$55</f>
        <v>0</v>
      </c>
      <c r="M93" s="67">
        <f>资产负债假设!$I$53*(M90+M92)/2*资产负债假设!$I$55</f>
        <v>0</v>
      </c>
      <c r="N93" s="57"/>
      <c r="O93" s="70"/>
      <c r="P93" s="70"/>
      <c r="Q93" s="70"/>
      <c r="R93" s="215"/>
    </row>
    <row r="94" spans="2:18" ht="24.95" customHeight="1" x14ac:dyDescent="0.15">
      <c r="B94" s="229"/>
      <c r="C94" s="69"/>
      <c r="D94" s="70" t="s">
        <v>128</v>
      </c>
      <c r="E94" s="70"/>
      <c r="F94" s="70"/>
      <c r="G94" s="70"/>
      <c r="H94" s="70"/>
      <c r="I94" s="67"/>
      <c r="J94" s="67"/>
      <c r="K94" s="67"/>
      <c r="L94" s="67"/>
      <c r="M94" s="67"/>
      <c r="N94" s="57"/>
      <c r="O94" s="70"/>
      <c r="P94" s="70"/>
      <c r="Q94" s="70"/>
      <c r="R94" s="215"/>
    </row>
    <row r="95" spans="2:18" ht="24.95" customHeight="1" x14ac:dyDescent="0.15">
      <c r="B95" s="229"/>
      <c r="C95" s="69"/>
      <c r="D95" s="70" t="s">
        <v>129</v>
      </c>
      <c r="E95" s="70"/>
      <c r="F95" s="70"/>
      <c r="G95" s="70"/>
      <c r="H95" s="70"/>
      <c r="I95" s="67">
        <f>BS!G30</f>
        <v>4118623</v>
      </c>
      <c r="J95" s="67">
        <f>BS!H30</f>
        <v>4486837.3899019528</v>
      </c>
      <c r="K95" s="67">
        <f>BS!I30</f>
        <v>6286051.4343017386</v>
      </c>
      <c r="L95" s="67">
        <f>BS!J30</f>
        <v>9946215.9367937669</v>
      </c>
      <c r="M95" s="67">
        <f>BS!K30</f>
        <v>14527869.443757538</v>
      </c>
      <c r="N95" s="57"/>
      <c r="O95" s="70"/>
      <c r="P95" s="70"/>
      <c r="Q95" s="70"/>
      <c r="R95" s="215"/>
    </row>
    <row r="96" spans="2:18" ht="24.95" customHeight="1" x14ac:dyDescent="0.15">
      <c r="B96" s="229"/>
      <c r="C96" s="69"/>
      <c r="D96" s="76" t="s">
        <v>130</v>
      </c>
      <c r="E96" s="76"/>
      <c r="F96" s="76"/>
      <c r="G96" s="76"/>
      <c r="H96" s="76"/>
      <c r="I96" s="67"/>
      <c r="J96" s="67"/>
      <c r="K96" s="67"/>
      <c r="L96" s="67"/>
      <c r="M96" s="67"/>
      <c r="N96" s="57"/>
      <c r="O96" s="76"/>
      <c r="P96" s="76"/>
      <c r="Q96" s="76"/>
      <c r="R96" s="215"/>
    </row>
    <row r="97" spans="2:18" ht="24.95" customHeight="1" x14ac:dyDescent="0.15">
      <c r="B97" s="229"/>
      <c r="C97" s="69"/>
      <c r="D97" s="172" t="s">
        <v>131</v>
      </c>
      <c r="E97" s="70"/>
      <c r="F97" s="70"/>
      <c r="G97" s="70"/>
      <c r="H97" s="70"/>
      <c r="I97" s="67">
        <f>I36</f>
        <v>4487842.0598033424</v>
      </c>
      <c r="J97" s="67">
        <f t="shared" ref="J97:M97" si="9">J36</f>
        <v>5281599.7932385234</v>
      </c>
      <c r="K97" s="67">
        <f t="shared" si="9"/>
        <v>6299686.3101918772</v>
      </c>
      <c r="L97" s="67">
        <f t="shared" si="9"/>
        <v>6876635.1179393958</v>
      </c>
      <c r="M97" s="67">
        <f t="shared" si="9"/>
        <v>6721452.7990288688</v>
      </c>
      <c r="N97" s="57"/>
      <c r="O97" s="70"/>
      <c r="P97" s="70"/>
      <c r="Q97" s="70"/>
      <c r="R97" s="215"/>
    </row>
    <row r="98" spans="2:18" ht="24.95" customHeight="1" x14ac:dyDescent="0.15">
      <c r="B98" s="229"/>
      <c r="C98" s="69"/>
      <c r="D98" s="172" t="s">
        <v>132</v>
      </c>
      <c r="E98" s="70"/>
      <c r="F98" s="70"/>
      <c r="G98" s="70"/>
      <c r="H98" s="70"/>
      <c r="I98" s="67">
        <f>CS!I66</f>
        <v>-3660093.7159659159</v>
      </c>
      <c r="J98" s="67">
        <f>CS!J66</f>
        <v>-2688299.5532682925</v>
      </c>
      <c r="K98" s="67">
        <f>CS!K66</f>
        <v>-1641064.7163904204</v>
      </c>
      <c r="L98" s="67">
        <f>CS!L66</f>
        <v>-1020672.141011441</v>
      </c>
      <c r="M98" s="67">
        <f>CS!M66</f>
        <v>-592896.74919609609</v>
      </c>
      <c r="N98" s="57"/>
      <c r="O98" s="70"/>
      <c r="P98" s="70"/>
      <c r="Q98" s="70"/>
      <c r="R98" s="215"/>
    </row>
    <row r="99" spans="2:18" ht="24.95" customHeight="1" x14ac:dyDescent="0.15">
      <c r="B99" s="229"/>
      <c r="C99" s="69"/>
      <c r="D99" s="172" t="s">
        <v>133</v>
      </c>
      <c r="E99" s="70"/>
      <c r="F99" s="70"/>
      <c r="G99" s="70"/>
      <c r="H99" s="70"/>
      <c r="I99" s="67">
        <f>SUM(I70:I80)+BS!H47-BS!G47+BS!H48-BS!G48</f>
        <v>-702625.66192532133</v>
      </c>
      <c r="J99" s="67">
        <f>SUM(J70:J80)+BS!I47-BS!H47+BS!I48-BS!H48</f>
        <v>-923134.03774586378</v>
      </c>
      <c r="K99" s="67">
        <f>SUM(K70:K80)+BS!J47-BS!I47+BS!J48-BS!I48</f>
        <v>-1164979.2229969506</v>
      </c>
      <c r="L99" s="67">
        <f>SUM(L70:L80)+BS!K47-BS!J47+BS!K48-BS!J48</f>
        <v>-1407976.6904725283</v>
      </c>
      <c r="M99" s="67">
        <f>SUM(M70:M80)+BS!L47-BS!K47+BS!L48-BS!K48</f>
        <v>-1539479.6828114095</v>
      </c>
      <c r="N99" s="57"/>
      <c r="O99" s="70"/>
      <c r="P99" s="70"/>
      <c r="Q99" s="70"/>
      <c r="R99" s="215"/>
    </row>
    <row r="100" spans="2:18" ht="24.95" customHeight="1" x14ac:dyDescent="0.15">
      <c r="B100" s="229"/>
      <c r="C100" s="69"/>
      <c r="D100" s="70" t="s">
        <v>134</v>
      </c>
      <c r="E100" s="70"/>
      <c r="F100" s="70"/>
      <c r="G100" s="70"/>
      <c r="H100" s="70"/>
      <c r="I100" s="67">
        <f>IS!I7*资产负债假设!$I$47</f>
        <v>857485.4869354252</v>
      </c>
      <c r="J100" s="67">
        <f>IS!J7*资产负债假设!$I$47</f>
        <v>1039966.6219498195</v>
      </c>
      <c r="K100" s="67">
        <f>IS!K7*资产负债假设!$I$47</f>
        <v>1186444.1253627155</v>
      </c>
      <c r="L100" s="67">
        <f>IS!L7*资产负债假设!$I$47</f>
        <v>1207051.386418853</v>
      </c>
      <c r="M100" s="67">
        <f>IS!M7*资产负债假设!$I$47</f>
        <v>0</v>
      </c>
      <c r="N100" s="57"/>
      <c r="O100" s="70"/>
      <c r="P100" s="70"/>
      <c r="Q100" s="70"/>
      <c r="R100" s="215"/>
    </row>
    <row r="101" spans="2:18" ht="24.95" customHeight="1" x14ac:dyDescent="0.15">
      <c r="B101" s="229"/>
      <c r="C101" s="69"/>
      <c r="D101" s="70" t="s">
        <v>135</v>
      </c>
      <c r="E101" s="70"/>
      <c r="F101" s="70"/>
      <c r="G101" s="70"/>
      <c r="H101" s="70"/>
      <c r="I101" s="67">
        <f>I95+I97+I98+I99-I100-I104</f>
        <v>2975906.1949766804</v>
      </c>
      <c r="J101" s="67">
        <f t="shared" ref="J101:M101" si="10">J95+J97+J98+J99-J100-J104</f>
        <v>4463591.2621866511</v>
      </c>
      <c r="K101" s="67">
        <f t="shared" si="10"/>
        <v>7810756.1295782644</v>
      </c>
      <c r="L101" s="67">
        <f t="shared" si="10"/>
        <v>12238135.154977553</v>
      </c>
      <c r="M101" s="67">
        <f t="shared" si="10"/>
        <v>18034262.908417769</v>
      </c>
      <c r="N101" s="57">
        <v>0</v>
      </c>
      <c r="O101" s="70"/>
      <c r="P101" s="70"/>
      <c r="Q101" s="70"/>
      <c r="R101" s="215"/>
    </row>
    <row r="102" spans="2:18" ht="24.95" customHeight="1" x14ac:dyDescent="0.15">
      <c r="B102" s="229"/>
      <c r="C102" s="69"/>
      <c r="D102" s="70" t="s">
        <v>136</v>
      </c>
      <c r="E102" s="70"/>
      <c r="F102" s="70"/>
      <c r="G102" s="70"/>
      <c r="H102" s="70"/>
      <c r="I102" s="67">
        <f>资产负债假设!$I$50*(BS!H24+BS!H25)</f>
        <v>653445.70798984729</v>
      </c>
      <c r="J102" s="67">
        <f>资产负债假设!$I$50*(BS!I24+BS!I25)</f>
        <v>782493.55016526591</v>
      </c>
      <c r="K102" s="67">
        <f>资产负债假设!$I$50*(BS!J24+BS!J25)</f>
        <v>949015.6818527889</v>
      </c>
      <c r="L102" s="67">
        <f>资产负债假设!$I$50*(BS!K24+BS!K25)</f>
        <v>1082682.9023611324</v>
      </c>
      <c r="M102" s="67">
        <f>资产负债假设!$I$50*(BS!L24+BS!L25)</f>
        <v>1101487.9423398599</v>
      </c>
      <c r="N102" s="57"/>
      <c r="O102" s="70"/>
      <c r="P102" s="70"/>
      <c r="Q102" s="70"/>
      <c r="R102" s="215"/>
    </row>
    <row r="103" spans="2:18" ht="24.95" customHeight="1" x14ac:dyDescent="0.15">
      <c r="B103" s="229"/>
      <c r="C103" s="69"/>
      <c r="D103" s="70" t="s">
        <v>137</v>
      </c>
      <c r="E103" s="70"/>
      <c r="F103" s="70"/>
      <c r="G103" s="70"/>
      <c r="H103" s="70"/>
      <c r="I103" s="369">
        <f>MAX(-I101,I102)</f>
        <v>653445.70798984729</v>
      </c>
      <c r="J103" s="369">
        <f t="shared" ref="J103:M103" si="11">MAX(-J101,J102)</f>
        <v>782493.55016526591</v>
      </c>
      <c r="K103" s="369">
        <f t="shared" si="11"/>
        <v>949015.6818527889</v>
      </c>
      <c r="L103" s="369">
        <f t="shared" si="11"/>
        <v>1082682.9023611324</v>
      </c>
      <c r="M103" s="369">
        <f t="shared" si="11"/>
        <v>1101487.9423398599</v>
      </c>
      <c r="N103" s="57"/>
      <c r="O103" s="70"/>
      <c r="P103" s="70"/>
      <c r="Q103" s="70"/>
      <c r="R103" s="215"/>
    </row>
    <row r="104" spans="2:18" ht="24.95" customHeight="1" x14ac:dyDescent="0.15">
      <c r="B104" s="229"/>
      <c r="C104" s="69"/>
      <c r="D104" s="70" t="s">
        <v>138</v>
      </c>
      <c r="E104" s="70"/>
      <c r="F104" s="70"/>
      <c r="G104" s="70"/>
      <c r="H104" s="70"/>
      <c r="I104" s="67">
        <f>BS!G38</f>
        <v>410354</v>
      </c>
      <c r="J104" s="67">
        <f>BS!H38</f>
        <v>653445.70798984729</v>
      </c>
      <c r="K104" s="67">
        <f>BS!I38</f>
        <v>782493.55016526591</v>
      </c>
      <c r="L104" s="67">
        <f>BS!J38</f>
        <v>949015.6818527889</v>
      </c>
      <c r="M104" s="67">
        <f>BS!K38</f>
        <v>1082682.9023611324</v>
      </c>
      <c r="N104" s="57"/>
      <c r="O104" s="70"/>
      <c r="P104" s="70"/>
      <c r="Q104" s="70"/>
      <c r="R104" s="215"/>
    </row>
    <row r="105" spans="2:18" ht="24.95" customHeight="1" x14ac:dyDescent="0.15">
      <c r="B105" s="229"/>
      <c r="C105" s="69"/>
      <c r="D105" s="70" t="s">
        <v>139</v>
      </c>
      <c r="E105" s="70"/>
      <c r="F105" s="70"/>
      <c r="G105" s="70"/>
      <c r="H105" s="70"/>
      <c r="I105" s="67">
        <f t="shared" ref="I105:M105" si="12">I103-I104</f>
        <v>243091.70798984729</v>
      </c>
      <c r="J105" s="67">
        <f t="shared" si="12"/>
        <v>129047.84217541863</v>
      </c>
      <c r="K105" s="67">
        <f t="shared" si="12"/>
        <v>166522.13168752298</v>
      </c>
      <c r="L105" s="67">
        <f t="shared" si="12"/>
        <v>133667.22050834354</v>
      </c>
      <c r="M105" s="67">
        <f t="shared" si="12"/>
        <v>18805.039978727465</v>
      </c>
      <c r="N105" s="57"/>
      <c r="O105" s="70"/>
      <c r="P105" s="70"/>
      <c r="Q105" s="70"/>
      <c r="R105" s="215"/>
    </row>
    <row r="106" spans="2:18" ht="24.95" customHeight="1" x14ac:dyDescent="0.15">
      <c r="B106" s="229"/>
      <c r="C106" s="69"/>
      <c r="D106" s="70" t="s">
        <v>140</v>
      </c>
      <c r="E106" s="70"/>
      <c r="F106" s="70"/>
      <c r="G106" s="70"/>
      <c r="H106" s="70"/>
      <c r="I106" s="67">
        <f>资产负债假设!$I$51*(I104+I103)/2</f>
        <v>7978.4978099238542</v>
      </c>
      <c r="J106" s="67">
        <f>资产负债假设!$I$51*(J104+J103)/2</f>
        <v>10769.544436163347</v>
      </c>
      <c r="K106" s="67">
        <f>资产负债假设!$I$51*(K104+K103)/2</f>
        <v>12986.319240135412</v>
      </c>
      <c r="L106" s="67">
        <f>资产负债假设!$I$51*(L104+L103)/2</f>
        <v>15237.73938160441</v>
      </c>
      <c r="M106" s="67">
        <f>资产负债假设!$I$51*(M104+M103)/2</f>
        <v>16381.281335257439</v>
      </c>
      <c r="N106" s="57"/>
      <c r="O106" s="70"/>
      <c r="P106" s="70"/>
      <c r="Q106" s="70"/>
      <c r="R106" s="215"/>
    </row>
    <row r="107" spans="2:18" ht="24.95" customHeight="1" x14ac:dyDescent="0.15">
      <c r="B107" s="229"/>
      <c r="C107" s="69"/>
      <c r="D107" s="77" t="s">
        <v>141</v>
      </c>
      <c r="E107" s="70"/>
      <c r="F107" s="70"/>
      <c r="G107" s="70"/>
      <c r="H107" s="70"/>
      <c r="I107" s="67">
        <f>I93+I106</f>
        <v>7978.4978099238542</v>
      </c>
      <c r="J107" s="67">
        <f t="shared" ref="J107:M107" si="13">J93+J106</f>
        <v>10769.544436163347</v>
      </c>
      <c r="K107" s="67">
        <f t="shared" si="13"/>
        <v>12986.319240135412</v>
      </c>
      <c r="L107" s="67">
        <f t="shared" si="13"/>
        <v>15237.73938160441</v>
      </c>
      <c r="M107" s="67">
        <f t="shared" si="13"/>
        <v>16381.281335257439</v>
      </c>
      <c r="N107" s="57"/>
      <c r="O107" s="70"/>
      <c r="P107" s="70"/>
      <c r="Q107" s="70"/>
      <c r="R107" s="215"/>
    </row>
    <row r="108" spans="2:18" ht="24.95" customHeight="1" x14ac:dyDescent="0.15">
      <c r="B108" s="229"/>
      <c r="C108" s="69"/>
      <c r="D108" s="70" t="s">
        <v>142</v>
      </c>
      <c r="E108" s="70"/>
      <c r="F108" s="70"/>
      <c r="G108" s="70"/>
      <c r="H108" s="70"/>
      <c r="I108" s="67"/>
      <c r="J108" s="67"/>
      <c r="K108" s="67"/>
      <c r="L108" s="67"/>
      <c r="M108" s="67"/>
      <c r="N108" s="57"/>
      <c r="O108" s="70"/>
      <c r="P108" s="70"/>
      <c r="Q108" s="70"/>
      <c r="R108" s="215"/>
    </row>
    <row r="109" spans="2:18" ht="24.95" customHeight="1" x14ac:dyDescent="0.15">
      <c r="B109" s="229"/>
      <c r="C109" s="69"/>
      <c r="D109" s="70" t="s">
        <v>124</v>
      </c>
      <c r="E109" s="70"/>
      <c r="F109" s="70"/>
      <c r="G109" s="70"/>
      <c r="H109" s="70"/>
      <c r="I109" s="67">
        <f>I84</f>
        <v>4118623</v>
      </c>
      <c r="J109" s="67">
        <f t="shared" ref="J109:M109" si="14">J84</f>
        <v>4486837.3899019528</v>
      </c>
      <c r="K109" s="67">
        <f t="shared" si="14"/>
        <v>6286051.4343017386</v>
      </c>
      <c r="L109" s="67">
        <f t="shared" si="14"/>
        <v>9946215.9367937669</v>
      </c>
      <c r="M109" s="67">
        <f t="shared" si="14"/>
        <v>14527869.443757538</v>
      </c>
      <c r="N109" s="57"/>
      <c r="O109" s="70"/>
      <c r="P109" s="70"/>
      <c r="Q109" s="70"/>
      <c r="R109" s="215"/>
    </row>
    <row r="110" spans="2:18" ht="24.95" customHeight="1" x14ac:dyDescent="0.15">
      <c r="B110" s="229"/>
      <c r="C110" s="69"/>
      <c r="D110" s="70" t="s">
        <v>126</v>
      </c>
      <c r="E110" s="70"/>
      <c r="F110" s="70"/>
      <c r="G110" s="70"/>
      <c r="H110" s="70"/>
      <c r="I110" s="67">
        <f>I86</f>
        <v>4486837.3899019528</v>
      </c>
      <c r="J110" s="67">
        <f t="shared" ref="J110:M110" si="15">J86</f>
        <v>6286051.4343017386</v>
      </c>
      <c r="K110" s="67">
        <f t="shared" si="15"/>
        <v>9946215.9367937669</v>
      </c>
      <c r="L110" s="67">
        <f t="shared" si="15"/>
        <v>14527869.443757538</v>
      </c>
      <c r="M110" s="67">
        <f t="shared" si="15"/>
        <v>19135750.850757629</v>
      </c>
      <c r="N110" s="57"/>
      <c r="O110" s="70"/>
      <c r="P110" s="70"/>
      <c r="Q110" s="70"/>
      <c r="R110" s="215"/>
    </row>
    <row r="111" spans="2:18" ht="24.95" customHeight="1" x14ac:dyDescent="0.15">
      <c r="B111" s="229"/>
      <c r="C111" s="69"/>
      <c r="D111" s="70" t="s">
        <v>143</v>
      </c>
      <c r="E111" s="70"/>
      <c r="F111" s="70"/>
      <c r="G111" s="70"/>
      <c r="H111" s="70"/>
      <c r="I111" s="67">
        <f>资产负债假设!$I$48*(I109+I110)/2</f>
        <v>51632.762339411718</v>
      </c>
      <c r="J111" s="67">
        <f>资产负债假设!$I$48*(J109+J110)/2</f>
        <v>64637.332945222159</v>
      </c>
      <c r="K111" s="67">
        <f>资产负债假设!$I$48*(K109+K110)/2</f>
        <v>97393.604226573036</v>
      </c>
      <c r="L111" s="67">
        <f>资产负债假设!$I$48*(L109+L110)/2</f>
        <v>146844.51228330782</v>
      </c>
      <c r="M111" s="67">
        <f>资产负债假设!$I$48*(M109+M110)/2</f>
        <v>201981.72176709099</v>
      </c>
      <c r="N111" s="57"/>
      <c r="O111" s="70"/>
      <c r="P111" s="70"/>
      <c r="Q111" s="70"/>
      <c r="R111" s="215"/>
    </row>
    <row r="112" spans="2:18" ht="24.95" customHeight="1" x14ac:dyDescent="0.15">
      <c r="B112" s="229"/>
      <c r="C112" s="69"/>
      <c r="D112" s="70" t="s">
        <v>144</v>
      </c>
      <c r="E112" s="70"/>
      <c r="F112" s="70"/>
      <c r="G112" s="70"/>
      <c r="H112" s="70"/>
      <c r="I112" s="67">
        <f>I107-I111</f>
        <v>-43654.26452948786</v>
      </c>
      <c r="J112" s="67">
        <f t="shared" ref="J112:M112" si="16">J107-J111</f>
        <v>-53867.78850905881</v>
      </c>
      <c r="K112" s="67">
        <f t="shared" si="16"/>
        <v>-84407.284986437618</v>
      </c>
      <c r="L112" s="67">
        <f t="shared" si="16"/>
        <v>-131606.7729017034</v>
      </c>
      <c r="M112" s="67">
        <f t="shared" si="16"/>
        <v>-185600.44043183356</v>
      </c>
      <c r="N112" s="67">
        <f t="shared" ref="N112:Q112" si="17">N107-N111</f>
        <v>0</v>
      </c>
      <c r="O112" s="67">
        <f t="shared" si="17"/>
        <v>0</v>
      </c>
      <c r="P112" s="67">
        <f t="shared" si="17"/>
        <v>0</v>
      </c>
      <c r="Q112" s="67">
        <f t="shared" si="17"/>
        <v>0</v>
      </c>
      <c r="R112" s="233"/>
    </row>
    <row r="113" spans="2:18" ht="6" customHeight="1" x14ac:dyDescent="0.15">
      <c r="B113" s="229"/>
      <c r="C113" s="229"/>
      <c r="D113" s="229"/>
      <c r="E113" s="215"/>
      <c r="F113" s="215"/>
      <c r="G113" s="215"/>
      <c r="H113" s="215"/>
      <c r="I113" s="215"/>
      <c r="J113" s="215"/>
      <c r="K113" s="215" t="s">
        <v>82</v>
      </c>
      <c r="L113" s="215"/>
      <c r="M113" s="215"/>
      <c r="N113" s="57"/>
      <c r="O113" s="57"/>
      <c r="P113" s="57"/>
      <c r="Q113" s="57"/>
      <c r="R113" s="215"/>
    </row>
  </sheetData>
  <mergeCells count="41">
    <mergeCell ref="I67:I69"/>
    <mergeCell ref="J67:J69"/>
    <mergeCell ref="K67:K69"/>
    <mergeCell ref="L67:L69"/>
    <mergeCell ref="M67:M69"/>
    <mergeCell ref="I51:I57"/>
    <mergeCell ref="J51:J57"/>
    <mergeCell ref="K51:K57"/>
    <mergeCell ref="L51:L57"/>
    <mergeCell ref="M51:M57"/>
    <mergeCell ref="I43:I49"/>
    <mergeCell ref="J43:J49"/>
    <mergeCell ref="K43:K49"/>
    <mergeCell ref="L43:L49"/>
    <mergeCell ref="M43:M49"/>
    <mergeCell ref="I39:I40"/>
    <mergeCell ref="J39:J40"/>
    <mergeCell ref="K39:K40"/>
    <mergeCell ref="L39:L40"/>
    <mergeCell ref="M39:M40"/>
    <mergeCell ref="I41:I42"/>
    <mergeCell ref="J41:J42"/>
    <mergeCell ref="K41:K42"/>
    <mergeCell ref="L41:L42"/>
    <mergeCell ref="M41:M42"/>
    <mergeCell ref="C87:M87"/>
    <mergeCell ref="I22:I26"/>
    <mergeCell ref="J22:J26"/>
    <mergeCell ref="K22:K26"/>
    <mergeCell ref="L22:L26"/>
    <mergeCell ref="M22:M26"/>
    <mergeCell ref="I27:I29"/>
    <mergeCell ref="J27:J29"/>
    <mergeCell ref="K27:K29"/>
    <mergeCell ref="L27:L29"/>
    <mergeCell ref="M27:M29"/>
    <mergeCell ref="I37:I38"/>
    <mergeCell ref="J37:J38"/>
    <mergeCell ref="K37:K38"/>
    <mergeCell ref="L37:L38"/>
    <mergeCell ref="M37:M38"/>
  </mergeCells>
  <phoneticPr fontId="37" type="noConversion"/>
  <pageMargins left="0.7" right="0.7" top="0.75" bottom="0.75" header="0.3" footer="0.3"/>
  <pageSetup paperSize="9" orientation="portrait"/>
  <ignoredErrors>
    <ignoredError sqref="I105" evalErro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B1:O46"/>
  <sheetViews>
    <sheetView showGridLines="0" zoomScale="85" zoomScaleNormal="85" workbookViewId="0">
      <pane xSplit="3" ySplit="6" topLeftCell="D31" activePane="bottomRight" state="frozen"/>
      <selection pane="topRight"/>
      <selection pane="bottomLeft"/>
      <selection pane="bottomRight" activeCell="G8" sqref="G8"/>
    </sheetView>
  </sheetViews>
  <sheetFormatPr defaultColWidth="9" defaultRowHeight="16.5" x14ac:dyDescent="0.15"/>
  <cols>
    <col min="1" max="1" width="4.125" style="17" customWidth="1"/>
    <col min="2" max="2" width="0.875" style="17" customWidth="1"/>
    <col min="3" max="3" width="34" style="98" customWidth="1"/>
    <col min="4" max="8" width="14.5" style="17" customWidth="1"/>
    <col min="9" max="12" width="13.875" style="17" customWidth="1"/>
    <col min="13" max="13" width="0.875" style="17" customWidth="1"/>
    <col min="14" max="16384" width="9" style="17"/>
  </cols>
  <sheetData>
    <row r="1" spans="2:15" s="177" customFormat="1" ht="12" customHeight="1" x14ac:dyDescent="0.15">
      <c r="C1" s="218"/>
    </row>
    <row r="2" spans="2:15" s="203" customFormat="1" ht="12" customHeight="1" x14ac:dyDescent="0.15">
      <c r="C2" s="205"/>
      <c r="H2" s="205"/>
    </row>
    <row r="3" spans="2:15" s="203" customFormat="1" ht="12" customHeight="1" x14ac:dyDescent="0.15">
      <c r="C3" s="219"/>
      <c r="D3" s="207"/>
      <c r="E3" s="207"/>
      <c r="F3" s="207"/>
      <c r="G3" s="207"/>
      <c r="H3" s="207"/>
      <c r="I3" s="208"/>
      <c r="J3" s="208"/>
      <c r="K3" s="208"/>
      <c r="L3" s="208"/>
      <c r="M3" s="208"/>
    </row>
    <row r="4" spans="2:15" s="97" customFormat="1" ht="15.6" customHeight="1" x14ac:dyDescent="0.15">
      <c r="C4" s="99"/>
      <c r="D4" s="100"/>
      <c r="E4" s="100"/>
      <c r="F4" s="100"/>
      <c r="G4" s="100"/>
      <c r="H4" s="100"/>
      <c r="I4" s="108"/>
      <c r="J4" s="108"/>
      <c r="K4" s="108"/>
      <c r="L4" s="108"/>
      <c r="M4" s="108"/>
    </row>
    <row r="5" spans="2:15" s="97" customFormat="1" ht="6" customHeight="1" x14ac:dyDescent="0.15">
      <c r="B5" s="203"/>
      <c r="C5" s="219"/>
      <c r="D5" s="207"/>
      <c r="E5" s="207"/>
      <c r="F5" s="207"/>
      <c r="G5" s="207"/>
      <c r="H5" s="207"/>
      <c r="I5" s="208"/>
      <c r="J5" s="208"/>
      <c r="K5" s="208"/>
      <c r="L5" s="208"/>
      <c r="M5" s="208"/>
    </row>
    <row r="6" spans="2:15" s="79" customFormat="1" ht="24.95" customHeight="1" x14ac:dyDescent="0.15">
      <c r="B6" s="177"/>
      <c r="C6" s="221" t="s">
        <v>446</v>
      </c>
      <c r="D6" s="327">
        <v>2015</v>
      </c>
      <c r="E6" s="327">
        <v>2016</v>
      </c>
      <c r="F6" s="327">
        <v>2017</v>
      </c>
      <c r="G6" s="327">
        <v>2018</v>
      </c>
      <c r="H6" s="328" t="s">
        <v>23</v>
      </c>
      <c r="I6" s="328" t="s">
        <v>24</v>
      </c>
      <c r="J6" s="328" t="s">
        <v>25</v>
      </c>
      <c r="K6" s="328" t="s">
        <v>26</v>
      </c>
      <c r="L6" s="328" t="s">
        <v>27</v>
      </c>
      <c r="M6" s="177"/>
    </row>
    <row r="7" spans="2:15" ht="24.95" customHeight="1" x14ac:dyDescent="0.15">
      <c r="B7" s="177"/>
      <c r="C7" s="101" t="s">
        <v>404</v>
      </c>
      <c r="D7" s="102">
        <f>利润表!B5</f>
        <v>5756682</v>
      </c>
      <c r="E7" s="102">
        <f>利润表!C5</f>
        <v>7807686</v>
      </c>
      <c r="F7" s="102">
        <f>利润表!D5</f>
        <v>10637170</v>
      </c>
      <c r="G7" s="102">
        <f>利润表!E5</f>
        <v>16969100</v>
      </c>
      <c r="H7" s="102">
        <f>利润表!F5</f>
        <v>27021512.068727285</v>
      </c>
      <c r="I7" s="102">
        <f>利润表!G5</f>
        <v>32357942.903223593</v>
      </c>
      <c r="J7" s="102">
        <f>利润表!H5</f>
        <v>39244023.46980451</v>
      </c>
      <c r="K7" s="102">
        <f>利润表!I5</f>
        <v>44771476.428781718</v>
      </c>
      <c r="L7" s="102">
        <f>利润表!J5</f>
        <v>45549108.921466149</v>
      </c>
      <c r="M7" s="177">
        <f>利润表!K5</f>
        <v>0</v>
      </c>
    </row>
    <row r="8" spans="2:15" ht="24.95" customHeight="1" x14ac:dyDescent="0.15">
      <c r="B8" s="177"/>
      <c r="C8" s="104" t="s">
        <v>405</v>
      </c>
      <c r="D8" s="102"/>
      <c r="E8" s="105">
        <f>E7/D7-1</f>
        <v>0.35628231679290256</v>
      </c>
      <c r="F8" s="105">
        <f t="shared" ref="F8:L8" si="0">F7/E7-1</f>
        <v>0.36239725829138103</v>
      </c>
      <c r="G8" s="105">
        <f t="shared" si="0"/>
        <v>0.59526452994546486</v>
      </c>
      <c r="H8" s="105">
        <f t="shared" si="0"/>
        <v>0.5923951222355508</v>
      </c>
      <c r="I8" s="105">
        <f t="shared" si="0"/>
        <v>0.19748823903427315</v>
      </c>
      <c r="J8" s="105">
        <f t="shared" si="0"/>
        <v>0.2128095901267848</v>
      </c>
      <c r="K8" s="105">
        <f t="shared" si="0"/>
        <v>0.14084827370542641</v>
      </c>
      <c r="L8" s="105">
        <f t="shared" si="0"/>
        <v>1.7368926707642007E-2</v>
      </c>
      <c r="M8" s="177">
        <f>利润表!K6</f>
        <v>0</v>
      </c>
    </row>
    <row r="9" spans="2:15" ht="24.95" customHeight="1" x14ac:dyDescent="0.15">
      <c r="B9" s="177"/>
      <c r="C9" s="298" t="s">
        <v>390</v>
      </c>
      <c r="D9" s="102">
        <f>利润表!B6</f>
        <v>35663</v>
      </c>
      <c r="E9" s="102">
        <f>利润表!C6</f>
        <v>62094</v>
      </c>
      <c r="F9" s="102">
        <f>利润表!D6</f>
        <v>90753</v>
      </c>
      <c r="G9" s="102">
        <f>利润表!E6</f>
        <v>104318</v>
      </c>
      <c r="H9" s="102">
        <f>利润表!F6</f>
        <v>166115.47436136819</v>
      </c>
      <c r="I9" s="102">
        <f>利润表!G6</f>
        <v>198921.32686933776</v>
      </c>
      <c r="J9" s="102">
        <f>利润表!H6</f>
        <v>241253.6929078777</v>
      </c>
      <c r="K9" s="102">
        <f>利润表!I6</f>
        <v>275233.85907901137</v>
      </c>
      <c r="L9" s="102">
        <f>利润表!J6</f>
        <v>280014.3758048162</v>
      </c>
      <c r="M9" s="177"/>
    </row>
    <row r="10" spans="2:15" ht="24.95" customHeight="1" x14ac:dyDescent="0.15">
      <c r="B10" s="177"/>
      <c r="C10" s="298" t="s">
        <v>391</v>
      </c>
      <c r="D10" s="102">
        <f>利润表!B7</f>
        <v>-2599740</v>
      </c>
      <c r="E10" s="102">
        <f>利润表!C7</f>
        <v>-3179281</v>
      </c>
      <c r="F10" s="102">
        <f>利润表!D7</f>
        <v>-4313230</v>
      </c>
      <c r="G10" s="102">
        <f>利润表!E7</f>
        <v>-6935033</v>
      </c>
      <c r="H10" s="102">
        <f>利润表!F7</f>
        <v>-11311926.475647787</v>
      </c>
      <c r="I10" s="102">
        <f>利润表!G7</f>
        <v>-13259159.94446636</v>
      </c>
      <c r="J10" s="102">
        <f>利润表!H7</f>
        <v>-16178061.757695431</v>
      </c>
      <c r="K10" s="102">
        <f>利润表!I7</f>
        <v>-18530211.518405031</v>
      </c>
      <c r="L10" s="102">
        <f>利润表!J7</f>
        <v>-18921837.543034852</v>
      </c>
      <c r="M10" s="177"/>
    </row>
    <row r="11" spans="2:15" ht="24.95" customHeight="1" x14ac:dyDescent="0.15">
      <c r="B11" s="177"/>
      <c r="C11" s="298" t="s">
        <v>392</v>
      </c>
      <c r="D11" s="102">
        <f>利润表!B8</f>
        <v>-1571877</v>
      </c>
      <c r="E11" s="102">
        <f>利润表!C8</f>
        <v>-2044292</v>
      </c>
      <c r="F11" s="102">
        <f>利润表!D8</f>
        <v>-3119699</v>
      </c>
      <c r="G11" s="102">
        <f>利润表!E8</f>
        <v>-5016321</v>
      </c>
      <c r="H11" s="102">
        <f>利润表!F8</f>
        <v>-7987965.0919677606</v>
      </c>
      <c r="I11" s="102">
        <f>利润表!G8</f>
        <v>-9662568.0801573899</v>
      </c>
      <c r="J11" s="102">
        <f>利润表!H8</f>
        <v>-11522635.115518816</v>
      </c>
      <c r="K11" s="102">
        <f>利润表!I8</f>
        <v>-12921720.997933259</v>
      </c>
      <c r="L11" s="102">
        <f>利润表!J8</f>
        <v>-12918411.878275629</v>
      </c>
      <c r="M11" s="177"/>
    </row>
    <row r="12" spans="2:15" ht="24.95" customHeight="1" x14ac:dyDescent="0.15">
      <c r="B12" s="177"/>
      <c r="C12" s="298" t="s">
        <v>393</v>
      </c>
      <c r="D12" s="102">
        <f>利润表!B9</f>
        <v>-269482</v>
      </c>
      <c r="E12" s="102">
        <f>利润表!C9</f>
        <v>-298367</v>
      </c>
      <c r="F12" s="102">
        <f>利润表!D9</f>
        <v>-414862</v>
      </c>
      <c r="G12" s="102">
        <f>利润表!E9</f>
        <v>-684910</v>
      </c>
      <c r="H12" s="102">
        <f>利润表!F9</f>
        <v>-1059043.9815900864</v>
      </c>
      <c r="I12" s="102">
        <f>利润表!G9</f>
        <v>-1365266.5412838284</v>
      </c>
      <c r="J12" s="102">
        <f>利润表!H9</f>
        <v>-1655808.3543482532</v>
      </c>
      <c r="K12" s="102">
        <f>利润表!I9</f>
        <v>-1889026.1026452277</v>
      </c>
      <c r="L12" s="102">
        <f>利润表!J9</f>
        <v>-1921836.4585708955</v>
      </c>
      <c r="M12" s="177"/>
    </row>
    <row r="13" spans="2:15" ht="24.95" customHeight="1" x14ac:dyDescent="0.15">
      <c r="B13" s="177"/>
      <c r="C13" s="298" t="s">
        <v>394</v>
      </c>
      <c r="D13" s="102">
        <f>利润表!B10</f>
        <v>-221483</v>
      </c>
      <c r="E13" s="102">
        <f>利润表!C10</f>
        <v>-262985</v>
      </c>
      <c r="F13" s="102">
        <f>利润表!D10</f>
        <v>-348577</v>
      </c>
      <c r="G13" s="102">
        <f>利润表!E10</f>
        <v>-594772</v>
      </c>
      <c r="H13" s="102">
        <f>利润表!F10</f>
        <v>-947112.03164228296</v>
      </c>
      <c r="I13" s="102">
        <f>利润表!G10</f>
        <v>-1134155.5189394902</v>
      </c>
      <c r="J13" s="102">
        <f>利润表!H10</f>
        <v>-1375514.690065034</v>
      </c>
      <c r="K13" s="102">
        <f>利润表!I10</f>
        <v>-1569253.5596171487</v>
      </c>
      <c r="L13" s="102">
        <f>利润表!J10</f>
        <v>-1596509.8096798453</v>
      </c>
      <c r="M13" s="177"/>
    </row>
    <row r="14" spans="2:15" ht="24.95" customHeight="1" x14ac:dyDescent="0.15">
      <c r="B14" s="177"/>
      <c r="C14" s="298" t="s">
        <v>395</v>
      </c>
      <c r="D14" s="102">
        <f>利润表!B11</f>
        <v>-239179</v>
      </c>
      <c r="E14" s="102">
        <f>利润表!C11</f>
        <v>-285918</v>
      </c>
      <c r="F14" s="102">
        <f>利润表!D11</f>
        <v>-359839</v>
      </c>
      <c r="G14" s="102">
        <f>利润表!E11</f>
        <v>-689321</v>
      </c>
      <c r="H14" s="102">
        <f>利润表!F11</f>
        <v>-1097671.398054532</v>
      </c>
      <c r="I14" s="102">
        <f>利润表!G11</f>
        <v>-1314448.5894946102</v>
      </c>
      <c r="J14" s="102">
        <f>利润表!H11</f>
        <v>-1594175.8550676885</v>
      </c>
      <c r="K14" s="102">
        <f>利润表!I11</f>
        <v>-1818712.7722368448</v>
      </c>
      <c r="L14" s="102">
        <f>利润表!J11</f>
        <v>-1850301.8610800789</v>
      </c>
      <c r="M14" s="177"/>
    </row>
    <row r="15" spans="2:15" ht="24.95" customHeight="1" x14ac:dyDescent="0.15">
      <c r="B15" s="177"/>
      <c r="C15" s="103" t="s">
        <v>396</v>
      </c>
      <c r="D15" s="102">
        <f>利润表!B15</f>
        <v>-67214</v>
      </c>
      <c r="E15" s="102">
        <f>利润表!C15</f>
        <v>-84483</v>
      </c>
      <c r="F15" s="102">
        <f>利润表!D15</f>
        <v>-119598</v>
      </c>
      <c r="G15" s="102">
        <f>利润表!E15</f>
        <v>-159470</v>
      </c>
      <c r="H15" s="102">
        <f>利润表!F15</f>
        <v>-237992.25014290327</v>
      </c>
      <c r="I15" s="102">
        <f>利润表!G15</f>
        <v>-261193.69551313913</v>
      </c>
      <c r="J15" s="102">
        <f>利润表!H15</f>
        <v>-290658.84924767655</v>
      </c>
      <c r="K15" s="102">
        <f>利润表!I15</f>
        <v>-302531.7614766499</v>
      </c>
      <c r="L15" s="102">
        <f>利润表!J15</f>
        <v>-277533.23732080666</v>
      </c>
      <c r="M15" s="177"/>
    </row>
    <row r="16" spans="2:15" ht="24.95" customHeight="1" x14ac:dyDescent="0.15">
      <c r="B16" s="177"/>
      <c r="C16" s="103" t="s">
        <v>397</v>
      </c>
      <c r="D16" s="102">
        <f>利润表!B16</f>
        <v>0</v>
      </c>
      <c r="E16" s="102">
        <f>利润表!C16</f>
        <v>0</v>
      </c>
      <c r="F16" s="102">
        <f>利润表!D16</f>
        <v>0</v>
      </c>
      <c r="G16" s="102">
        <f>利润表!E16</f>
        <v>-85540</v>
      </c>
      <c r="H16" s="102">
        <f>利润表!F16</f>
        <v>0</v>
      </c>
      <c r="I16" s="102">
        <f>利润表!G16</f>
        <v>0</v>
      </c>
      <c r="J16" s="102">
        <f>利润表!H16</f>
        <v>0</v>
      </c>
      <c r="K16" s="102">
        <f>利润表!I16</f>
        <v>0</v>
      </c>
      <c r="L16" s="102">
        <f>利润表!J16</f>
        <v>0</v>
      </c>
      <c r="M16" s="177"/>
      <c r="O16" s="109"/>
    </row>
    <row r="17" spans="2:13" ht="24.95" customHeight="1" x14ac:dyDescent="0.15">
      <c r="B17" s="177"/>
      <c r="C17" s="103" t="s">
        <v>398</v>
      </c>
      <c r="D17" s="102">
        <f>利润表!B17</f>
        <v>-268113</v>
      </c>
      <c r="E17" s="102">
        <f>利润表!C17</f>
        <v>-372422</v>
      </c>
      <c r="F17" s="102">
        <f>利润表!D17</f>
        <v>-444998</v>
      </c>
      <c r="G17" s="102">
        <f>利润表!E17</f>
        <v>-660533</v>
      </c>
      <c r="H17" s="102">
        <f>利润表!F17</f>
        <v>-985776.22727561498</v>
      </c>
      <c r="I17" s="102">
        <f>利润表!G17</f>
        <v>-1081877.815754564</v>
      </c>
      <c r="J17" s="102">
        <f>利润表!H17</f>
        <v>-1203924.0087170976</v>
      </c>
      <c r="K17" s="102">
        <f>利润表!I17</f>
        <v>-1253102.2261457075</v>
      </c>
      <c r="L17" s="102">
        <f>利润表!J17</f>
        <v>-1149557.0442542445</v>
      </c>
      <c r="M17" s="177"/>
    </row>
    <row r="18" spans="2:13" ht="24.95" customHeight="1" x14ac:dyDescent="0.15">
      <c r="B18" s="177"/>
      <c r="C18" s="103" t="s">
        <v>399</v>
      </c>
      <c r="D18" s="102">
        <f>利润表!B18</f>
        <v>0</v>
      </c>
      <c r="E18" s="102">
        <f>利润表!C18</f>
        <v>0</v>
      </c>
      <c r="F18" s="102">
        <f>利润表!D18</f>
        <v>482</v>
      </c>
      <c r="G18" s="102">
        <f>利润表!E18</f>
        <v>30049</v>
      </c>
      <c r="H18" s="102">
        <f>利润表!F18</f>
        <v>15265.5</v>
      </c>
      <c r="I18" s="102">
        <f>利润表!G18</f>
        <v>15265.5</v>
      </c>
      <c r="J18" s="102">
        <f>利润表!H18</f>
        <v>15265.5</v>
      </c>
      <c r="K18" s="102">
        <f>利润表!I18</f>
        <v>15265.5</v>
      </c>
      <c r="L18" s="102">
        <f>利润表!J18</f>
        <v>15265.5</v>
      </c>
      <c r="M18" s="177"/>
    </row>
    <row r="19" spans="2:13" ht="24.95" customHeight="1" x14ac:dyDescent="0.15">
      <c r="B19" s="177"/>
      <c r="C19" s="103" t="s">
        <v>400</v>
      </c>
      <c r="D19" s="102">
        <f>利润表!B19</f>
        <v>0</v>
      </c>
      <c r="E19" s="102">
        <f>利润表!C19</f>
        <v>0</v>
      </c>
      <c r="F19" s="102">
        <f>利润表!D19</f>
        <v>0</v>
      </c>
      <c r="G19" s="102">
        <f>利润表!E19</f>
        <v>-2363</v>
      </c>
      <c r="H19" s="102">
        <f>利润表!F19</f>
        <v>0</v>
      </c>
      <c r="I19" s="102">
        <f>利润表!G19</f>
        <v>0</v>
      </c>
      <c r="J19" s="102">
        <f>利润表!H19</f>
        <v>0</v>
      </c>
      <c r="K19" s="102">
        <f>利润表!I19</f>
        <v>0</v>
      </c>
      <c r="L19" s="102">
        <f>利润表!J19</f>
        <v>0</v>
      </c>
      <c r="M19" s="177"/>
    </row>
    <row r="20" spans="2:13" ht="24.95" customHeight="1" x14ac:dyDescent="0.15">
      <c r="B20" s="177"/>
      <c r="C20" s="103" t="s">
        <v>401</v>
      </c>
      <c r="D20" s="102">
        <f>利润表!B20</f>
        <v>8072</v>
      </c>
      <c r="E20" s="102">
        <f>利润表!C20</f>
        <v>12012</v>
      </c>
      <c r="F20" s="102">
        <f>利润表!D20</f>
        <v>26062</v>
      </c>
      <c r="G20" s="102">
        <f>利润表!E20</f>
        <v>17857</v>
      </c>
      <c r="H20" s="102">
        <f>利润表!F20</f>
        <v>18643.666666666668</v>
      </c>
      <c r="I20" s="102">
        <f>利润表!G20</f>
        <v>18643.666666666668</v>
      </c>
      <c r="J20" s="102">
        <f>利润表!H20</f>
        <v>18643.666666666668</v>
      </c>
      <c r="K20" s="102">
        <f>利润表!I20</f>
        <v>18643.666666666668</v>
      </c>
      <c r="L20" s="102">
        <f>利润表!J20</f>
        <v>18643.666666666668</v>
      </c>
      <c r="M20" s="177"/>
    </row>
    <row r="21" spans="2:13" ht="24.95" customHeight="1" x14ac:dyDescent="0.15">
      <c r="B21" s="177"/>
      <c r="C21" s="103" t="s">
        <v>402</v>
      </c>
      <c r="D21" s="102">
        <f>利润表!B21</f>
        <v>-3221</v>
      </c>
      <c r="E21" s="102">
        <f>利润表!C21</f>
        <v>-8167</v>
      </c>
      <c r="F21" s="102">
        <f>利润表!D21</f>
        <v>-8614</v>
      </c>
      <c r="G21" s="102">
        <f>利润表!E21</f>
        <v>-31231</v>
      </c>
      <c r="H21" s="102">
        <f>利润表!F21</f>
        <v>-49732.09206253849</v>
      </c>
      <c r="I21" s="102">
        <f>利润表!G21</f>
        <v>-59553.595347459566</v>
      </c>
      <c r="J21" s="102">
        <f>利润表!H21</f>
        <v>-72227.17156392883</v>
      </c>
      <c r="K21" s="102">
        <f>利润表!I21</f>
        <v>-82400.243993333876</v>
      </c>
      <c r="L21" s="102">
        <f>利润表!J21</f>
        <v>-83831.447791945917</v>
      </c>
      <c r="M21" s="177"/>
    </row>
    <row r="22" spans="2:13" ht="24.95" customHeight="1" x14ac:dyDescent="0.15">
      <c r="B22" s="177"/>
      <c r="C22" s="103" t="s">
        <v>403</v>
      </c>
      <c r="D22" s="102">
        <f>利润表!B22</f>
        <v>0</v>
      </c>
      <c r="E22" s="102">
        <f>利润表!C22</f>
        <v>0</v>
      </c>
      <c r="F22" s="102">
        <f>利润表!D22</f>
        <v>0</v>
      </c>
      <c r="G22" s="102">
        <f>利润表!E22</f>
        <v>0</v>
      </c>
      <c r="H22" s="102">
        <f>利润表!F22</f>
        <v>0</v>
      </c>
      <c r="I22" s="102">
        <f>利润表!G22</f>
        <v>0</v>
      </c>
      <c r="J22" s="102">
        <f>利润表!H22</f>
        <v>0</v>
      </c>
      <c r="K22" s="102">
        <f>利润表!I22</f>
        <v>0</v>
      </c>
      <c r="L22" s="102">
        <f>利润表!J22</f>
        <v>0</v>
      </c>
      <c r="M22" s="177"/>
    </row>
    <row r="23" spans="2:13" ht="24.95" customHeight="1" x14ac:dyDescent="0.15">
      <c r="B23" s="177"/>
      <c r="C23" s="101" t="s">
        <v>406</v>
      </c>
      <c r="D23" s="102">
        <f>利润表!B23</f>
        <v>560108</v>
      </c>
      <c r="E23" s="102">
        <f>利润表!C23</f>
        <v>1345877</v>
      </c>
      <c r="F23" s="102">
        <f>利润表!D23</f>
        <v>1625050</v>
      </c>
      <c r="G23" s="102">
        <f>利润表!E23</f>
        <v>2261830</v>
      </c>
      <c r="H23" s="102">
        <f>利润表!F23</f>
        <v>3544317.1613718132</v>
      </c>
      <c r="I23" s="102">
        <f>利润表!G23</f>
        <v>4452549.6158027565</v>
      </c>
      <c r="J23" s="102">
        <f>利润表!H23</f>
        <v>5626180.5271551302</v>
      </c>
      <c r="K23" s="102">
        <f>利润表!I23</f>
        <v>6713660.2720741928</v>
      </c>
      <c r="L23" s="102">
        <f>利润表!J23</f>
        <v>7143213.1839293391</v>
      </c>
      <c r="M23" s="177"/>
    </row>
    <row r="24" spans="2:13" ht="24.95" customHeight="1" x14ac:dyDescent="0.15">
      <c r="B24" s="177"/>
      <c r="C24" s="104" t="s">
        <v>407</v>
      </c>
      <c r="D24" s="102">
        <f>利润表!B24</f>
        <v>-149426</v>
      </c>
      <c r="E24" s="102">
        <f>利润表!C24</f>
        <v>-367686</v>
      </c>
      <c r="F24" s="102">
        <f>利润表!D24</f>
        <v>-430708</v>
      </c>
      <c r="G24" s="102">
        <f>利润表!E24</f>
        <v>-612984</v>
      </c>
      <c r="H24" s="102">
        <f>利润表!F24</f>
        <v>-953448.23563561786</v>
      </c>
      <c r="I24" s="102">
        <f>利润表!G24</f>
        <v>-1197769.663938334</v>
      </c>
      <c r="J24" s="102">
        <f>利润表!H24</f>
        <v>-1513485.2928645106</v>
      </c>
      <c r="K24" s="102">
        <f>利润表!I24</f>
        <v>-1806025.603698669</v>
      </c>
      <c r="L24" s="102">
        <f>利润表!J24</f>
        <v>-1921578.5994587645</v>
      </c>
      <c r="M24" s="177"/>
    </row>
    <row r="25" spans="2:13" ht="24.95" customHeight="1" x14ac:dyDescent="0.15">
      <c r="B25" s="177"/>
      <c r="C25" s="103" t="s">
        <v>408</v>
      </c>
      <c r="D25" s="102">
        <f>利润表!B25</f>
        <v>410682</v>
      </c>
      <c r="E25" s="102">
        <f>利润表!C25</f>
        <v>978191</v>
      </c>
      <c r="F25" s="102">
        <f>利润表!D25</f>
        <v>1194342</v>
      </c>
      <c r="G25" s="102">
        <f>利润表!E25</f>
        <v>1648846</v>
      </c>
      <c r="H25" s="102">
        <f>利润表!F25</f>
        <v>2590868.9257361954</v>
      </c>
      <c r="I25" s="102">
        <f>利润表!G25</f>
        <v>3254779.9518644223</v>
      </c>
      <c r="J25" s="102">
        <f>利润表!H25</f>
        <v>4112695.2342906194</v>
      </c>
      <c r="K25" s="102">
        <f>利润表!I25</f>
        <v>4907634.6683755238</v>
      </c>
      <c r="L25" s="102">
        <f>利润表!J25</f>
        <v>5221634.5844705747</v>
      </c>
      <c r="M25" s="177"/>
    </row>
    <row r="26" spans="2:13" ht="23.25" customHeight="1" x14ac:dyDescent="0.15">
      <c r="B26" s="177"/>
      <c r="C26" s="103" t="s">
        <v>409</v>
      </c>
      <c r="D26" s="102">
        <f>利润表!B26</f>
        <v>148</v>
      </c>
      <c r="E26" s="102">
        <f>利润表!C26</f>
        <v>5539</v>
      </c>
      <c r="F26" s="102">
        <f>利润表!D26</f>
        <v>-30507</v>
      </c>
      <c r="G26" s="102">
        <f>利润表!E26</f>
        <v>-18501</v>
      </c>
      <c r="H26" s="102">
        <f>利润表!F26</f>
        <v>-10830.25</v>
      </c>
      <c r="I26" s="102">
        <f>利润表!G26</f>
        <v>-10830.25</v>
      </c>
      <c r="J26" s="102">
        <f>利润表!H26</f>
        <v>-10830.25</v>
      </c>
      <c r="K26" s="102">
        <f>利润表!I26</f>
        <v>-10830.25</v>
      </c>
      <c r="L26" s="102">
        <f>利润表!J26</f>
        <v>-10830.25</v>
      </c>
      <c r="M26" s="177"/>
    </row>
    <row r="27" spans="2:13" ht="24.95" customHeight="1" x14ac:dyDescent="0.15">
      <c r="B27" s="177"/>
      <c r="C27" s="101" t="s">
        <v>410</v>
      </c>
      <c r="D27" s="102">
        <f>利润表!B27</f>
        <v>410830</v>
      </c>
      <c r="E27" s="102">
        <f>利润表!C27</f>
        <v>983730</v>
      </c>
      <c r="F27" s="102">
        <f>利润表!D27</f>
        <v>1163835</v>
      </c>
      <c r="G27" s="102">
        <f>利润表!E27</f>
        <v>1630345</v>
      </c>
      <c r="H27" s="102">
        <f>利润表!F27</f>
        <v>2580038.6757361954</v>
      </c>
      <c r="I27" s="102">
        <f>利润表!G27</f>
        <v>3243949.7018644223</v>
      </c>
      <c r="J27" s="102">
        <f>利润表!H27</f>
        <v>4101864.9842906194</v>
      </c>
      <c r="K27" s="102">
        <f>利润表!I27</f>
        <v>4896804.4183755238</v>
      </c>
      <c r="L27" s="102">
        <f>利润表!J27</f>
        <v>5210804.3344705747</v>
      </c>
      <c r="M27" s="177"/>
    </row>
    <row r="28" spans="2:13" ht="24.95" customHeight="1" x14ac:dyDescent="0.15">
      <c r="B28" s="177"/>
      <c r="C28" s="104" t="s">
        <v>444</v>
      </c>
      <c r="D28" s="102">
        <f>利润表!B28</f>
        <v>272693</v>
      </c>
      <c r="E28" s="102">
        <f>利润表!C28</f>
        <v>735169</v>
      </c>
      <c r="F28" s="102">
        <f>利润表!D28</f>
        <v>1027845</v>
      </c>
      <c r="G28" s="102">
        <f>利润表!E28</f>
        <v>1646156</v>
      </c>
      <c r="H28" s="102">
        <f>利润表!F28</f>
        <v>2586642.0680367919</v>
      </c>
      <c r="I28" s="102">
        <f>利润表!G28</f>
        <v>3249469.9604701288</v>
      </c>
      <c r="J28" s="102">
        <f>利润表!H28</f>
        <v>4105985.602111361</v>
      </c>
      <c r="K28" s="102">
        <f>利润表!I28</f>
        <v>4899628.1369845206</v>
      </c>
      <c r="L28" s="102">
        <f>利润表!J28</f>
        <v>5213115.7797840089</v>
      </c>
      <c r="M28" s="177"/>
    </row>
    <row r="29" spans="2:13" ht="24.95" customHeight="1" x14ac:dyDescent="0.15">
      <c r="B29" s="177"/>
      <c r="C29" s="69" t="s">
        <v>414</v>
      </c>
      <c r="D29" s="102"/>
      <c r="E29" s="102"/>
      <c r="F29" s="102"/>
      <c r="G29" s="102">
        <f>G28*G30</f>
        <v>352935.84640000004</v>
      </c>
      <c r="H29" s="102">
        <f>资产负债假设!I38</f>
        <v>775992.62041103758</v>
      </c>
      <c r="I29" s="102">
        <f>资产负债假设!J38</f>
        <v>974840.98814103857</v>
      </c>
      <c r="J29" s="102">
        <f>资产负债假设!K38</f>
        <v>1231795.6806334083</v>
      </c>
      <c r="K29" s="102">
        <f>资产负债假设!L38</f>
        <v>1469888.4410953561</v>
      </c>
      <c r="L29" s="102">
        <f>资产负债假设!M38</f>
        <v>1563934.7339352027</v>
      </c>
      <c r="M29" s="177"/>
    </row>
    <row r="30" spans="2:13" ht="24.95" customHeight="1" x14ac:dyDescent="0.15">
      <c r="B30" s="177"/>
      <c r="C30" s="69" t="s">
        <v>415</v>
      </c>
      <c r="D30" s="102"/>
      <c r="E30" s="102"/>
      <c r="F30" s="102"/>
      <c r="G30" s="105">
        <v>0.21440000000000001</v>
      </c>
      <c r="H30" s="105">
        <f>资产负债假设!I39</f>
        <v>0.3</v>
      </c>
      <c r="I30" s="105">
        <f>资产负债假设!J39</f>
        <v>0.3</v>
      </c>
      <c r="J30" s="105">
        <f>资产负债假设!K39</f>
        <v>0.3</v>
      </c>
      <c r="K30" s="105">
        <f>资产负债假设!L39</f>
        <v>0.3</v>
      </c>
      <c r="L30" s="105">
        <f>资产负债假设!M39</f>
        <v>0.3</v>
      </c>
      <c r="M30" s="177"/>
    </row>
    <row r="31" spans="2:13" ht="24.95" customHeight="1" x14ac:dyDescent="0.15">
      <c r="B31" s="177"/>
      <c r="C31" s="69" t="s">
        <v>416</v>
      </c>
      <c r="D31" s="102"/>
      <c r="E31" s="102"/>
      <c r="F31" s="102"/>
      <c r="G31" s="102">
        <f>G28-G29</f>
        <v>1293220.1535999998</v>
      </c>
      <c r="H31" s="102">
        <f t="shared" ref="H31:L31" si="1">H28-H29</f>
        <v>1810649.4476257544</v>
      </c>
      <c r="I31" s="102">
        <f t="shared" si="1"/>
        <v>2274628.9723290903</v>
      </c>
      <c r="J31" s="102">
        <f t="shared" si="1"/>
        <v>2874189.921477953</v>
      </c>
      <c r="K31" s="102">
        <f t="shared" si="1"/>
        <v>3429739.6958891647</v>
      </c>
      <c r="L31" s="102">
        <f t="shared" si="1"/>
        <v>3649181.0458488064</v>
      </c>
      <c r="M31" s="177"/>
    </row>
    <row r="32" spans="2:13" ht="24.95" customHeight="1" x14ac:dyDescent="0.15">
      <c r="B32" s="177"/>
      <c r="C32" s="69" t="s">
        <v>411</v>
      </c>
      <c r="D32" s="102">
        <f>利润表!B29</f>
        <v>137989</v>
      </c>
      <c r="E32" s="102">
        <f>利润表!C29</f>
        <v>243022</v>
      </c>
      <c r="F32" s="102">
        <f>利润表!D29</f>
        <v>166497</v>
      </c>
      <c r="G32" s="102">
        <f>利润表!E29</f>
        <v>2690</v>
      </c>
      <c r="H32" s="102">
        <f>利润表!F29</f>
        <v>4226.8576994033201</v>
      </c>
      <c r="I32" s="102">
        <f>利润表!G29</f>
        <v>5309.9913942935227</v>
      </c>
      <c r="J32" s="102">
        <f>利润表!H29</f>
        <v>6709.632179258565</v>
      </c>
      <c r="K32" s="102">
        <f>利润表!I29</f>
        <v>8006.5313910032601</v>
      </c>
      <c r="L32" s="102">
        <f>利润表!J29</f>
        <v>8518.8046865661472</v>
      </c>
      <c r="M32" s="177"/>
    </row>
    <row r="33" spans="2:13" ht="24.95" customHeight="1" x14ac:dyDescent="0.15">
      <c r="B33" s="177"/>
      <c r="C33" s="101" t="s">
        <v>412</v>
      </c>
      <c r="D33" s="102">
        <f>利润表!B30</f>
        <v>272013</v>
      </c>
      <c r="E33" s="102">
        <f>利润表!C30</f>
        <v>740708</v>
      </c>
      <c r="F33" s="102">
        <f>利润表!D30</f>
        <v>997338</v>
      </c>
      <c r="G33" s="102">
        <f>利润表!E30</f>
        <v>1627655</v>
      </c>
      <c r="H33" s="102">
        <f>利润表!F30</f>
        <v>2575811.8180367919</v>
      </c>
      <c r="I33" s="102">
        <f>利润表!G30</f>
        <v>3238639.7104701288</v>
      </c>
      <c r="J33" s="102">
        <f>利润表!H30</f>
        <v>4095155.352111361</v>
      </c>
      <c r="K33" s="102">
        <f>利润表!I30</f>
        <v>4888797.8869845206</v>
      </c>
      <c r="L33" s="102">
        <f>利润表!J30</f>
        <v>5202285.5297840089</v>
      </c>
      <c r="M33" s="177"/>
    </row>
    <row r="34" spans="2:13" ht="24.95" customHeight="1" x14ac:dyDescent="0.15">
      <c r="B34" s="177"/>
      <c r="C34" s="104" t="s">
        <v>413</v>
      </c>
      <c r="D34" s="102">
        <f>利润表!B31</f>
        <v>138817</v>
      </c>
      <c r="E34" s="102">
        <f>利润表!C31</f>
        <v>243022</v>
      </c>
      <c r="F34" s="102">
        <f>利润表!D31</f>
        <v>166497</v>
      </c>
      <c r="G34" s="102">
        <f>利润表!E31</f>
        <v>2690</v>
      </c>
      <c r="H34" s="102">
        <f>利润表!F31</f>
        <v>4226.8576994033201</v>
      </c>
      <c r="I34" s="102">
        <f>利润表!G31</f>
        <v>5309.9913942935227</v>
      </c>
      <c r="J34" s="102">
        <f>利润表!H31</f>
        <v>6709.632179258565</v>
      </c>
      <c r="K34" s="102">
        <f>利润表!I31</f>
        <v>8006.5313910032601</v>
      </c>
      <c r="L34" s="102">
        <f>利润表!J31</f>
        <v>8518.8046865661472</v>
      </c>
      <c r="M34" s="177"/>
    </row>
    <row r="35" spans="2:13" ht="24.95" customHeight="1" x14ac:dyDescent="0.15">
      <c r="B35" s="177"/>
      <c r="C35" s="101" t="s">
        <v>417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77"/>
    </row>
    <row r="36" spans="2:13" ht="24.95" customHeight="1" x14ac:dyDescent="0.15">
      <c r="B36" s="177"/>
      <c r="C36" s="107" t="s">
        <v>418</v>
      </c>
      <c r="D36" s="325">
        <v>0.06</v>
      </c>
      <c r="E36" s="325">
        <v>0.16</v>
      </c>
      <c r="F36" s="325">
        <v>0.21</v>
      </c>
      <c r="G36" s="325">
        <v>0.33</v>
      </c>
      <c r="H36" s="325">
        <f>H28/资产负债假设!I34</f>
        <v>0.48804567321448905</v>
      </c>
      <c r="I36" s="325">
        <f>I28/资产负债假设!J34</f>
        <v>0.61310753971134502</v>
      </c>
      <c r="J36" s="325">
        <f>J28/资产负债假设!K34</f>
        <v>0.77471426454931336</v>
      </c>
      <c r="K36" s="325">
        <f>K28/资产负债假设!L34</f>
        <v>0.92445813905368313</v>
      </c>
      <c r="L36" s="325">
        <f>L28/资产负债假设!M34</f>
        <v>0.98360675090264316</v>
      </c>
      <c r="M36" s="177"/>
    </row>
    <row r="37" spans="2:13" ht="24.95" customHeight="1" x14ac:dyDescent="0.15">
      <c r="B37" s="177"/>
      <c r="C37" s="107" t="s">
        <v>441</v>
      </c>
      <c r="D37" s="325"/>
      <c r="E37" s="325"/>
      <c r="F37" s="325"/>
      <c r="G37" s="325">
        <v>0.33</v>
      </c>
      <c r="H37" s="325">
        <f>H28/资产负债假设!I35</f>
        <v>0.48482297258727214</v>
      </c>
      <c r="I37" s="325">
        <f>I28/资产负债假设!J35</f>
        <v>0.60905902097381537</v>
      </c>
      <c r="J37" s="325">
        <f>J28/资产负债假设!K35</f>
        <v>0.76959861188952694</v>
      </c>
      <c r="K37" s="325">
        <f>K28/资产负债假设!L35</f>
        <v>0.91835368615495871</v>
      </c>
      <c r="L37" s="325">
        <f>L28/资产负债假设!M35</f>
        <v>0.97711172335288432</v>
      </c>
      <c r="M37" s="177"/>
    </row>
    <row r="38" spans="2:13" ht="24.95" customHeight="1" x14ac:dyDescent="0.15">
      <c r="B38" s="177"/>
      <c r="C38" s="425"/>
      <c r="D38" s="426"/>
      <c r="E38" s="426"/>
      <c r="F38" s="426"/>
      <c r="G38" s="426"/>
      <c r="H38" s="426"/>
      <c r="I38" s="426"/>
      <c r="J38" s="426"/>
      <c r="K38" s="426"/>
      <c r="L38" s="426"/>
      <c r="M38" s="177"/>
    </row>
    <row r="39" spans="2:13" s="98" customFormat="1" ht="24.95" customHeight="1" x14ac:dyDescent="0.15">
      <c r="B39" s="218"/>
      <c r="C39" s="69" t="s">
        <v>111</v>
      </c>
      <c r="D39" s="106">
        <f>D28/D7</f>
        <v>4.7369821713271636E-2</v>
      </c>
      <c r="E39" s="106">
        <f t="shared" ref="E39:L39" si="2">E28/E7</f>
        <v>9.4159652424546783E-2</v>
      </c>
      <c r="F39" s="106">
        <f t="shared" si="2"/>
        <v>9.6627674466046892E-2</v>
      </c>
      <c r="G39" s="106">
        <f t="shared" si="2"/>
        <v>9.7009034067805602E-2</v>
      </c>
      <c r="H39" s="106">
        <f t="shared" si="2"/>
        <v>9.5725289593633869E-2</v>
      </c>
      <c r="I39" s="106">
        <f t="shared" si="2"/>
        <v>0.10042263719262597</v>
      </c>
      <c r="J39" s="106">
        <f t="shared" si="2"/>
        <v>0.10462702952133909</v>
      </c>
      <c r="K39" s="106">
        <f t="shared" si="2"/>
        <v>0.10943637618871897</v>
      </c>
      <c r="L39" s="106">
        <f t="shared" si="2"/>
        <v>0.11445044487636943</v>
      </c>
      <c r="M39" s="218"/>
    </row>
    <row r="40" spans="2:13" s="98" customFormat="1" ht="24.95" customHeight="1" x14ac:dyDescent="0.15">
      <c r="B40" s="218"/>
      <c r="C40" s="22" t="s">
        <v>445</v>
      </c>
      <c r="D40" s="89">
        <f>D28/BS!D52</f>
        <v>0.37914680741016754</v>
      </c>
      <c r="E40" s="89">
        <f>E28/BS!E52</f>
        <v>0.91665014581985171</v>
      </c>
      <c r="F40" s="89">
        <f>F28/BS!F52</f>
        <v>0.94376931093532646</v>
      </c>
      <c r="G40" s="89">
        <f>G28/BS!G52</f>
        <v>0.19085928626782789</v>
      </c>
      <c r="H40" s="89">
        <f>H28/BS!H52</f>
        <v>0.24786660583834114</v>
      </c>
      <c r="I40" s="89">
        <f>I28/BS!I52</f>
        <v>0.25565743027128124</v>
      </c>
      <c r="J40" s="89">
        <f>J28/BS!J52</f>
        <v>0.26346699093166576</v>
      </c>
      <c r="K40" s="89">
        <f>K28/BS!K52</f>
        <v>0.25768285181729061</v>
      </c>
      <c r="L40" s="89">
        <f>L28/BS!L52</f>
        <v>0.23002394749184557</v>
      </c>
      <c r="M40" s="218"/>
    </row>
    <row r="41" spans="2:13" s="98" customFormat="1" ht="24.95" customHeight="1" x14ac:dyDescent="0.15">
      <c r="B41" s="218"/>
      <c r="C41" s="22" t="s">
        <v>112</v>
      </c>
      <c r="D41" s="89"/>
      <c r="E41" s="89">
        <f t="shared" ref="E41:L41" si="3">E8</f>
        <v>0.35628231679290256</v>
      </c>
      <c r="F41" s="89">
        <f t="shared" si="3"/>
        <v>0.36239725829138103</v>
      </c>
      <c r="G41" s="89">
        <f t="shared" si="3"/>
        <v>0.59526452994546486</v>
      </c>
      <c r="H41" s="89">
        <f t="shared" si="3"/>
        <v>0.5923951222355508</v>
      </c>
      <c r="I41" s="89">
        <f t="shared" si="3"/>
        <v>0.19748823903427315</v>
      </c>
      <c r="J41" s="89">
        <f t="shared" si="3"/>
        <v>0.2128095901267848</v>
      </c>
      <c r="K41" s="89">
        <f t="shared" si="3"/>
        <v>0.14084827370542641</v>
      </c>
      <c r="L41" s="89">
        <f t="shared" si="3"/>
        <v>1.7368926707642007E-2</v>
      </c>
      <c r="M41" s="218"/>
    </row>
    <row r="42" spans="2:13" ht="24.95" customHeight="1" x14ac:dyDescent="0.15">
      <c r="B42" s="177"/>
      <c r="C42" s="22" t="s">
        <v>113</v>
      </c>
      <c r="D42" s="89"/>
      <c r="E42" s="89">
        <f>E28/D28-1</f>
        <v>1.6959584587796535</v>
      </c>
      <c r="F42" s="89">
        <f t="shared" ref="F42:L42" si="4">F28/E28-1</f>
        <v>0.39810710190445997</v>
      </c>
      <c r="G42" s="89">
        <f t="shared" si="4"/>
        <v>0.60156054658046698</v>
      </c>
      <c r="H42" s="89">
        <f t="shared" si="4"/>
        <v>0.57132256483394772</v>
      </c>
      <c r="I42" s="89">
        <f t="shared" si="4"/>
        <v>0.25625033344347092</v>
      </c>
      <c r="J42" s="89">
        <f t="shared" si="4"/>
        <v>0.26358626239379435</v>
      </c>
      <c r="K42" s="89">
        <f t="shared" si="4"/>
        <v>0.19328916654385164</v>
      </c>
      <c r="L42" s="89">
        <f t="shared" si="4"/>
        <v>6.3981925573728171E-2</v>
      </c>
      <c r="M42" s="177"/>
    </row>
    <row r="43" spans="2:13" ht="6" customHeight="1" x14ac:dyDescent="0.15">
      <c r="B43" s="177"/>
      <c r="C43" s="218"/>
      <c r="D43" s="177"/>
      <c r="E43" s="177"/>
      <c r="F43" s="177"/>
      <c r="G43" s="177"/>
      <c r="H43" s="177"/>
      <c r="I43" s="177"/>
      <c r="J43" s="177"/>
      <c r="K43" s="177"/>
      <c r="L43" s="177"/>
      <c r="M43" s="177"/>
    </row>
    <row r="45" spans="2:13" x14ac:dyDescent="0.15">
      <c r="J45" s="17" t="s">
        <v>82</v>
      </c>
    </row>
    <row r="46" spans="2:13" x14ac:dyDescent="0.15">
      <c r="C46" s="98" t="s">
        <v>82</v>
      </c>
    </row>
  </sheetData>
  <mergeCells count="1">
    <mergeCell ref="C38:L38"/>
  </mergeCells>
  <phoneticPr fontId="37" type="noConversion"/>
  <pageMargins left="0.7" right="0.7" top="0.75" bottom="0.75" header="0.3" footer="0.3"/>
  <pageSetup paperSize="9" orientation="portrait" horizontalDpi="2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P65"/>
  <sheetViews>
    <sheetView showGridLines="0" zoomScale="85" zoomScaleNormal="85" workbookViewId="0">
      <pane ySplit="5" topLeftCell="A6" activePane="bottomLeft" state="frozen"/>
      <selection pane="bottomLeft" activeCell="N9" sqref="N9"/>
    </sheetView>
  </sheetViews>
  <sheetFormatPr defaultColWidth="8.875" defaultRowHeight="13.5" x14ac:dyDescent="0.15"/>
  <cols>
    <col min="1" max="1" width="8.75" style="18" customWidth="1"/>
    <col min="2" max="2" width="0.875" style="18" customWidth="1"/>
    <col min="3" max="3" width="25.5" style="18" customWidth="1"/>
    <col min="4" max="9" width="13.625" style="18" customWidth="1"/>
    <col min="10" max="10" width="11" style="18" customWidth="1"/>
    <col min="11" max="11" width="0.875" style="18" customWidth="1"/>
    <col min="12" max="16384" width="8.875" style="18"/>
  </cols>
  <sheetData>
    <row r="1" spans="2:16" s="234" customFormat="1" ht="12" customHeight="1" x14ac:dyDescent="0.15"/>
    <row r="2" spans="2:16" s="180" customFormat="1" ht="12" customHeight="1" x14ac:dyDescent="0.15">
      <c r="C2" s="235"/>
      <c r="F2" s="182"/>
      <c r="J2" s="222"/>
    </row>
    <row r="3" spans="2:16" s="180" customFormat="1" ht="12" customHeight="1" x14ac:dyDescent="0.15">
      <c r="C3" s="236"/>
      <c r="D3" s="237"/>
      <c r="E3" s="237"/>
      <c r="F3" s="237"/>
      <c r="G3" s="238"/>
      <c r="H3" s="238"/>
      <c r="I3" s="238"/>
      <c r="J3" s="187"/>
      <c r="K3" s="238"/>
      <c r="L3" s="238"/>
      <c r="M3" s="238"/>
      <c r="N3" s="238"/>
      <c r="O3" s="238"/>
      <c r="P3" s="238"/>
    </row>
    <row r="4" spans="2:16" s="15" customFormat="1" ht="23.1" customHeight="1" x14ac:dyDescent="0.15">
      <c r="C4" s="19"/>
      <c r="D4" s="20"/>
      <c r="E4" s="20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2:16" s="15" customFormat="1" ht="6" customHeight="1" x14ac:dyDescent="0.15">
      <c r="B5" s="180"/>
      <c r="C5" s="236"/>
      <c r="D5" s="237"/>
      <c r="E5" s="237"/>
      <c r="F5" s="237"/>
      <c r="G5" s="238"/>
      <c r="H5" s="238"/>
      <c r="I5" s="238"/>
      <c r="J5" s="238"/>
      <c r="K5" s="238"/>
      <c r="L5" s="21"/>
      <c r="M5" s="21"/>
      <c r="N5" s="21"/>
      <c r="O5" s="21"/>
      <c r="P5" s="21"/>
    </row>
    <row r="6" spans="2:16" s="16" customFormat="1" ht="24.95" customHeight="1" x14ac:dyDescent="0.15">
      <c r="B6" s="218"/>
      <c r="C6" s="221" t="s">
        <v>446</v>
      </c>
      <c r="D6" s="371">
        <v>2018</v>
      </c>
      <c r="E6" s="371" t="s">
        <v>23</v>
      </c>
      <c r="F6" s="371" t="s">
        <v>24</v>
      </c>
      <c r="G6" s="371" t="s">
        <v>25</v>
      </c>
      <c r="H6" s="371" t="s">
        <v>26</v>
      </c>
      <c r="I6" s="371" t="s">
        <v>27</v>
      </c>
      <c r="J6" s="25"/>
      <c r="K6" s="218"/>
    </row>
    <row r="7" spans="2:16" s="16" customFormat="1" ht="24.95" customHeight="1" x14ac:dyDescent="0.15">
      <c r="B7" s="218"/>
      <c r="C7" s="22" t="s">
        <v>50</v>
      </c>
      <c r="D7" s="23">
        <f>IS!G25</f>
        <v>1648846</v>
      </c>
      <c r="E7" s="23">
        <f>IS!H25</f>
        <v>2590868.9257361954</v>
      </c>
      <c r="F7" s="23">
        <f>IS!I25</f>
        <v>3254779.9518644223</v>
      </c>
      <c r="G7" s="23">
        <f>IS!J25</f>
        <v>4112695.2342906194</v>
      </c>
      <c r="H7" s="23">
        <f>IS!K25</f>
        <v>4907634.6683755238</v>
      </c>
      <c r="I7" s="23">
        <f>IS!L25</f>
        <v>5221634.5844705747</v>
      </c>
      <c r="J7" s="25"/>
      <c r="K7" s="218"/>
    </row>
    <row r="8" spans="2:16" s="16" customFormat="1" ht="24.95" customHeight="1" x14ac:dyDescent="0.15">
      <c r="B8" s="218"/>
      <c r="C8" s="22" t="s">
        <v>145</v>
      </c>
      <c r="D8" s="23">
        <f>-IS!G24</f>
        <v>612984</v>
      </c>
      <c r="E8" s="23">
        <f>-IS!H24</f>
        <v>953448.23563561786</v>
      </c>
      <c r="F8" s="23">
        <f>-IS!I24</f>
        <v>1197769.663938334</v>
      </c>
      <c r="G8" s="23">
        <f>-IS!J24</f>
        <v>1513485.2928645106</v>
      </c>
      <c r="H8" s="23">
        <f>-IS!K24</f>
        <v>1806025.603698669</v>
      </c>
      <c r="I8" s="23">
        <f>-IS!L24</f>
        <v>1921578.5994587645</v>
      </c>
      <c r="J8" s="25"/>
      <c r="K8" s="218"/>
    </row>
    <row r="9" spans="2:16" s="16" customFormat="1" ht="24.95" customHeight="1" x14ac:dyDescent="0.15">
      <c r="B9" s="218"/>
      <c r="C9" s="22" t="s">
        <v>146</v>
      </c>
      <c r="D9" s="23">
        <f>CS!H112</f>
        <v>0</v>
      </c>
      <c r="E9" s="23">
        <f>CS!I112</f>
        <v>-43654.26452948786</v>
      </c>
      <c r="F9" s="23">
        <f>CS!J112</f>
        <v>-53867.78850905881</v>
      </c>
      <c r="G9" s="23">
        <f>CS!K112</f>
        <v>-84407.284986437618</v>
      </c>
      <c r="H9" s="23">
        <f>CS!L112</f>
        <v>-131606.7729017034</v>
      </c>
      <c r="I9" s="23">
        <f>CS!M112</f>
        <v>-185600.44043183356</v>
      </c>
      <c r="J9" s="25"/>
      <c r="K9" s="218"/>
    </row>
    <row r="10" spans="2:16" s="16" customFormat="1" ht="24.95" customHeight="1" x14ac:dyDescent="0.15">
      <c r="B10" s="218"/>
      <c r="C10" s="22" t="s">
        <v>147</v>
      </c>
      <c r="D10" s="23">
        <f>SUM(D7:D9)</f>
        <v>2261830</v>
      </c>
      <c r="E10" s="23">
        <f t="shared" ref="E10:I10" si="0">SUM(E7:E9)</f>
        <v>3500662.8968423251</v>
      </c>
      <c r="F10" s="23">
        <f t="shared" si="0"/>
        <v>4398681.8272936977</v>
      </c>
      <c r="G10" s="23">
        <f t="shared" si="0"/>
        <v>5541773.2421686929</v>
      </c>
      <c r="H10" s="23">
        <f t="shared" si="0"/>
        <v>6582053.4991724892</v>
      </c>
      <c r="I10" s="23">
        <f t="shared" si="0"/>
        <v>6957612.7434975058</v>
      </c>
      <c r="J10" s="25"/>
      <c r="K10" s="218"/>
    </row>
    <row r="11" spans="2:16" s="16" customFormat="1" ht="24.95" customHeight="1" x14ac:dyDescent="0.15">
      <c r="B11" s="218"/>
      <c r="C11" s="22" t="s">
        <v>148</v>
      </c>
      <c r="D11" s="22"/>
      <c r="E11" s="24">
        <f>E10/D10-1</f>
        <v>0.54771264721147261</v>
      </c>
      <c r="F11" s="24">
        <f t="shared" ref="F11:I11" si="1">F10/E10-1</f>
        <v>0.25652825105250932</v>
      </c>
      <c r="G11" s="24">
        <f t="shared" si="1"/>
        <v>0.25987135686471907</v>
      </c>
      <c r="H11" s="24">
        <f t="shared" si="1"/>
        <v>0.18771613553005961</v>
      </c>
      <c r="I11" s="24">
        <f t="shared" si="1"/>
        <v>5.705806620566567E-2</v>
      </c>
      <c r="J11" s="25"/>
      <c r="K11" s="218"/>
    </row>
    <row r="12" spans="2:16" s="16" customFormat="1" ht="24.95" customHeight="1" x14ac:dyDescent="0.15">
      <c r="B12" s="218"/>
      <c r="C12" s="22" t="s">
        <v>149</v>
      </c>
      <c r="D12" s="23">
        <f>D10*-IS!D24/IS!D23</f>
        <v>603412.57325372961</v>
      </c>
      <c r="E12" s="23">
        <f>E10*-IS!E24/IS!E23</f>
        <v>956361.34497310466</v>
      </c>
      <c r="F12" s="23">
        <f>F10*-IS!F24/IS!F23</f>
        <v>1165839.4833820583</v>
      </c>
      <c r="G12" s="23">
        <f>G10*-IS!G24/IS!G23</f>
        <v>1501889.3237235046</v>
      </c>
      <c r="H12" s="23">
        <f>H10*-IS!H24/IS!H23</f>
        <v>1770622.3822295552</v>
      </c>
      <c r="I12" s="23">
        <f>I10*-IS!I24/IS!I23</f>
        <v>1871650.6713400425</v>
      </c>
      <c r="J12" s="25"/>
      <c r="K12" s="218"/>
    </row>
    <row r="13" spans="2:16" s="16" customFormat="1" ht="24.95" customHeight="1" x14ac:dyDescent="0.15">
      <c r="B13" s="218"/>
      <c r="C13" s="22" t="s">
        <v>150</v>
      </c>
      <c r="D13" s="23">
        <f>D10-D12</f>
        <v>1658417.4267462704</v>
      </c>
      <c r="E13" s="23">
        <f t="shared" ref="E13:I13" si="2">E10-E12</f>
        <v>2544301.5518692206</v>
      </c>
      <c r="F13" s="23">
        <f t="shared" si="2"/>
        <v>3232842.3439116394</v>
      </c>
      <c r="G13" s="23">
        <f t="shared" si="2"/>
        <v>4039883.9184451886</v>
      </c>
      <c r="H13" s="23">
        <f t="shared" si="2"/>
        <v>4811431.1169429338</v>
      </c>
      <c r="I13" s="23">
        <f t="shared" si="2"/>
        <v>5085962.0721574631</v>
      </c>
      <c r="J13" s="56"/>
      <c r="K13" s="218"/>
    </row>
    <row r="14" spans="2:16" s="16" customFormat="1" ht="24.95" customHeight="1" x14ac:dyDescent="0.15">
      <c r="B14" s="218"/>
      <c r="C14" s="22" t="s">
        <v>151</v>
      </c>
      <c r="D14" s="23">
        <f>资本开支假设!F62+资本开支假设!F64</f>
        <v>679590</v>
      </c>
      <c r="E14" s="23">
        <f>资本开支假设!G62+资本开支假设!G64</f>
        <v>1277687.8085369987</v>
      </c>
      <c r="F14" s="23">
        <f>资本开支假设!H62+资本开支假设!H64</f>
        <v>1590758.1958247493</v>
      </c>
      <c r="G14" s="23">
        <f>资本开支假设!I62+资本开支假设!I64</f>
        <v>1620918.6265387724</v>
      </c>
      <c r="H14" s="23">
        <f>资本开支假设!J62+资本开支假设!J64</f>
        <v>1492474.5944223767</v>
      </c>
      <c r="I14" s="23">
        <f>资本开支假设!K62+资本开支假设!K64</f>
        <v>1294270.9396406582</v>
      </c>
      <c r="J14" s="25"/>
      <c r="K14" s="218"/>
    </row>
    <row r="15" spans="2:16" s="16" customFormat="1" ht="24.95" customHeight="1" x14ac:dyDescent="0.15">
      <c r="B15" s="218"/>
      <c r="C15" s="22" t="s">
        <v>152</v>
      </c>
      <c r="D15" s="23">
        <f>资本开支假设!F63</f>
        <v>9731</v>
      </c>
      <c r="E15" s="23">
        <f>资本开支假设!G63</f>
        <v>82990.596092445281</v>
      </c>
      <c r="F15" s="23">
        <f>资本开支假设!H63</f>
        <v>199170.00926932532</v>
      </c>
      <c r="G15" s="23">
        <f>资本开支假设!I63</f>
        <v>261291.6314326842</v>
      </c>
      <c r="H15" s="23">
        <f>资本开支假设!J63</f>
        <v>260726.87360320764</v>
      </c>
      <c r="I15" s="23">
        <f>资本开支假设!K63</f>
        <v>237258.46968514647</v>
      </c>
      <c r="J15" s="25"/>
      <c r="K15" s="218"/>
    </row>
    <row r="16" spans="2:16" s="16" customFormat="1" ht="24.95" customHeight="1" x14ac:dyDescent="0.15">
      <c r="B16" s="218"/>
      <c r="C16" s="22" t="s">
        <v>153</v>
      </c>
      <c r="D16" s="23">
        <f>BS!G58-BS!F58</f>
        <v>-250150</v>
      </c>
      <c r="E16" s="23">
        <f>BS!H58-BS!G58</f>
        <v>-1025860.9405692248</v>
      </c>
      <c r="F16" s="23">
        <f>BS!I58-BS!H58</f>
        <v>-513179.08530878276</v>
      </c>
      <c r="G16" s="23">
        <f>BS!J58-BS!I58</f>
        <v>-662447.23481841385</v>
      </c>
      <c r="H16" s="23">
        <f>BS!K58-BS!J58</f>
        <v>-510184.15233181138</v>
      </c>
      <c r="I16" s="23">
        <f>BS!L58-BS!K58</f>
        <v>-21498.100208345801</v>
      </c>
      <c r="K16" s="218"/>
    </row>
    <row r="17" spans="2:11" s="16" customFormat="1" ht="24.95" customHeight="1" x14ac:dyDescent="0.15">
      <c r="B17" s="218"/>
      <c r="C17" s="22" t="s">
        <v>154</v>
      </c>
      <c r="D17" s="23">
        <f>资本开支假设!F10</f>
        <v>2644893</v>
      </c>
      <c r="E17" s="23">
        <f>资本开支假设!G10</f>
        <v>3638350.62</v>
      </c>
      <c r="F17" s="23">
        <f>资本开支假设!H10</f>
        <v>2678350.62</v>
      </c>
      <c r="G17" s="23">
        <f>资本开支假设!I10</f>
        <v>1629567.08</v>
      </c>
      <c r="H17" s="23">
        <f>资本开支假设!J10</f>
        <v>1012783.54</v>
      </c>
      <c r="I17" s="23">
        <f>资本开支假设!K10</f>
        <v>592783.54</v>
      </c>
      <c r="J17" s="56"/>
      <c r="K17" s="218"/>
    </row>
    <row r="18" spans="2:11" s="16" customFormat="1" ht="24.95" customHeight="1" x14ac:dyDescent="0.15">
      <c r="B18" s="218"/>
      <c r="C18" s="22" t="s">
        <v>155</v>
      </c>
      <c r="D18" s="23">
        <f t="shared" ref="D18:I18" si="3">D13+D14+D15-D16-D17</f>
        <v>-47004.573253729381</v>
      </c>
      <c r="E18" s="23">
        <f t="shared" si="3"/>
        <v>1292490.2770678895</v>
      </c>
      <c r="F18" s="23">
        <f t="shared" si="3"/>
        <v>2857599.014314496</v>
      </c>
      <c r="G18" s="23">
        <f t="shared" si="3"/>
        <v>4954974.3312350586</v>
      </c>
      <c r="H18" s="23">
        <f t="shared" si="3"/>
        <v>6062033.1973003298</v>
      </c>
      <c r="I18" s="23">
        <f t="shared" si="3"/>
        <v>6046206.0416916134</v>
      </c>
      <c r="J18" s="43"/>
      <c r="K18" s="218"/>
    </row>
    <row r="19" spans="2:11" s="16" customFormat="1" ht="24.95" customHeight="1" x14ac:dyDescent="0.15">
      <c r="B19" s="218"/>
      <c r="C19" s="22" t="s">
        <v>148</v>
      </c>
      <c r="D19" s="22"/>
      <c r="E19" s="24">
        <f>E18/D18-1</f>
        <v>-28.497117569625892</v>
      </c>
      <c r="F19" s="24">
        <f t="shared" ref="F19:I19" si="4">F18/E18-1</f>
        <v>1.2109249601452881</v>
      </c>
      <c r="G19" s="24">
        <f t="shared" si="4"/>
        <v>0.73396417986366713</v>
      </c>
      <c r="H19" s="24">
        <f t="shared" si="4"/>
        <v>0.22342373381969272</v>
      </c>
      <c r="I19" s="24">
        <f t="shared" si="4"/>
        <v>-2.6108658751267111E-3</v>
      </c>
      <c r="J19" s="25"/>
      <c r="K19" s="218"/>
    </row>
    <row r="20" spans="2:11" s="16" customFormat="1" ht="24.95" customHeight="1" x14ac:dyDescent="0.15">
      <c r="B20" s="218"/>
      <c r="C20" s="25"/>
      <c r="D20" s="25"/>
      <c r="E20" s="26"/>
      <c r="F20" s="26"/>
      <c r="G20" s="26"/>
      <c r="H20" s="26"/>
      <c r="I20" s="26"/>
      <c r="J20" s="25"/>
      <c r="K20" s="218"/>
    </row>
    <row r="21" spans="2:11" s="16" customFormat="1" ht="24.95" customHeight="1" x14ac:dyDescent="0.15">
      <c r="B21" s="218"/>
      <c r="C21" s="221" t="s">
        <v>446</v>
      </c>
      <c r="D21" s="371" t="s">
        <v>156</v>
      </c>
      <c r="E21" s="371" t="s">
        <v>157</v>
      </c>
      <c r="F21" s="371" t="s">
        <v>158</v>
      </c>
      <c r="G21" s="371" t="s">
        <v>159</v>
      </c>
      <c r="H21" s="371" t="s">
        <v>160</v>
      </c>
      <c r="I21" s="371" t="s">
        <v>161</v>
      </c>
      <c r="J21" s="371" t="s">
        <v>162</v>
      </c>
      <c r="K21" s="218"/>
    </row>
    <row r="22" spans="2:11" s="16" customFormat="1" ht="24.95" customHeight="1" x14ac:dyDescent="0.15">
      <c r="B22" s="218"/>
      <c r="C22" s="22" t="s">
        <v>163</v>
      </c>
      <c r="D22" s="27">
        <f>I18*(1+9%)</f>
        <v>6590364.585443859</v>
      </c>
      <c r="E22" s="27">
        <f>D22*(1+9%)</f>
        <v>7183497.3981338069</v>
      </c>
      <c r="F22" s="27">
        <f t="shared" ref="F22:J22" si="5">E22*(1+9%)</f>
        <v>7830012.1639658501</v>
      </c>
      <c r="G22" s="27">
        <f t="shared" si="5"/>
        <v>8534713.2587227765</v>
      </c>
      <c r="H22" s="27">
        <f t="shared" si="5"/>
        <v>9302837.4520078264</v>
      </c>
      <c r="I22" s="27">
        <f t="shared" si="5"/>
        <v>10140092.822688531</v>
      </c>
      <c r="J22" s="27">
        <f t="shared" si="5"/>
        <v>11052701.176730501</v>
      </c>
      <c r="K22" s="218"/>
    </row>
    <row r="23" spans="2:11" s="16" customFormat="1" ht="24.95" customHeight="1" x14ac:dyDescent="0.15">
      <c r="B23" s="218"/>
      <c r="C23" s="25"/>
      <c r="K23" s="218"/>
    </row>
    <row r="24" spans="2:11" s="16" customFormat="1" ht="24.95" customHeight="1" x14ac:dyDescent="0.15">
      <c r="B24" s="218"/>
      <c r="C24" s="446" t="s">
        <v>164</v>
      </c>
      <c r="D24" s="447"/>
      <c r="E24" s="447"/>
      <c r="F24" s="447"/>
      <c r="G24" s="448"/>
      <c r="K24" s="218"/>
    </row>
    <row r="25" spans="2:11" s="16" customFormat="1" ht="24.95" customHeight="1" x14ac:dyDescent="0.15">
      <c r="B25" s="218"/>
      <c r="C25" s="22" t="s">
        <v>165</v>
      </c>
      <c r="D25" s="28">
        <f>D28*(1-D32)+D27*D32</f>
        <v>9.5241173494830467E-2</v>
      </c>
      <c r="E25" s="29"/>
      <c r="F25" s="173" t="s">
        <v>198</v>
      </c>
      <c r="G25" s="22" t="s">
        <v>166</v>
      </c>
      <c r="J25" s="45"/>
      <c r="K25" s="218"/>
    </row>
    <row r="26" spans="2:11" s="16" customFormat="1" ht="24.95" customHeight="1" x14ac:dyDescent="0.15">
      <c r="B26" s="218"/>
      <c r="C26" s="22" t="s">
        <v>167</v>
      </c>
      <c r="D26" s="30">
        <v>0.02</v>
      </c>
      <c r="E26" s="29"/>
      <c r="F26" s="31">
        <v>43829</v>
      </c>
      <c r="G26" s="32">
        <f ca="1">TODAY()</f>
        <v>43819</v>
      </c>
      <c r="K26" s="218"/>
    </row>
    <row r="27" spans="2:11" s="16" customFormat="1" ht="24.95" customHeight="1" x14ac:dyDescent="0.15">
      <c r="B27" s="218"/>
      <c r="C27" s="22" t="s">
        <v>168</v>
      </c>
      <c r="D27" s="33">
        <v>3.0599999999999999E-2</v>
      </c>
      <c r="E27" s="24"/>
      <c r="F27" s="22"/>
      <c r="G27" s="22"/>
      <c r="K27" s="218"/>
    </row>
    <row r="28" spans="2:11" s="16" customFormat="1" ht="24.95" customHeight="1" x14ac:dyDescent="0.15">
      <c r="B28" s="218"/>
      <c r="C28" s="22" t="s">
        <v>169</v>
      </c>
      <c r="D28" s="34">
        <f>D29+D31*D30</f>
        <v>9.8314999999999986E-2</v>
      </c>
      <c r="E28" s="35"/>
      <c r="F28" s="22"/>
      <c r="G28" s="22"/>
      <c r="K28" s="218"/>
    </row>
    <row r="29" spans="2:11" s="16" customFormat="1" ht="24.95" customHeight="1" x14ac:dyDescent="0.15">
      <c r="B29" s="218"/>
      <c r="C29" s="22" t="s">
        <v>170</v>
      </c>
      <c r="D29" s="30">
        <v>3.2099999999999997E-2</v>
      </c>
      <c r="E29" s="29"/>
      <c r="F29" s="22"/>
      <c r="G29" s="36"/>
      <c r="K29" s="218"/>
    </row>
    <row r="30" spans="2:11" s="16" customFormat="1" ht="24.95" customHeight="1" x14ac:dyDescent="0.15">
      <c r="B30" s="218"/>
      <c r="C30" s="22" t="s">
        <v>171</v>
      </c>
      <c r="D30" s="30">
        <f>11%-D29</f>
        <v>7.7899999999999997E-2</v>
      </c>
      <c r="E30" s="29"/>
      <c r="F30" s="22" t="s">
        <v>82</v>
      </c>
      <c r="G30" s="22"/>
      <c r="K30" s="218"/>
    </row>
    <row r="31" spans="2:11" s="16" customFormat="1" ht="24.95" customHeight="1" x14ac:dyDescent="0.15">
      <c r="B31" s="218"/>
      <c r="C31" s="22" t="s">
        <v>172</v>
      </c>
      <c r="D31" s="37">
        <v>0.85</v>
      </c>
      <c r="E31" s="38"/>
      <c r="F31" s="22" t="s">
        <v>173</v>
      </c>
      <c r="G31" s="22" t="s">
        <v>174</v>
      </c>
      <c r="H31" s="39"/>
      <c r="I31" s="39"/>
      <c r="K31" s="218"/>
    </row>
    <row r="32" spans="2:11" s="16" customFormat="1" ht="24.95" customHeight="1" x14ac:dyDescent="0.15">
      <c r="B32" s="218"/>
      <c r="C32" s="22" t="s">
        <v>175</v>
      </c>
      <c r="D32" s="30">
        <f>(BS!G48+BS!G47+BS!G41+BS!G38)/(BS!G48+BS!G47+BS!G41+BS!G38+BS!G51)</f>
        <v>4.5393583477361284E-2</v>
      </c>
      <c r="E32" s="29"/>
      <c r="F32" s="179" t="s">
        <v>457</v>
      </c>
      <c r="G32" s="22" t="s">
        <v>458</v>
      </c>
      <c r="K32" s="218"/>
    </row>
    <row r="33" spans="2:11" s="16" customFormat="1" ht="24.95" customHeight="1" x14ac:dyDescent="0.15">
      <c r="B33" s="218"/>
      <c r="C33" s="25"/>
      <c r="D33" s="40"/>
      <c r="E33" s="40"/>
      <c r="K33" s="218"/>
    </row>
    <row r="34" spans="2:11" s="16" customFormat="1" ht="24.95" customHeight="1" x14ac:dyDescent="0.15">
      <c r="B34" s="218"/>
      <c r="C34" s="446" t="s">
        <v>176</v>
      </c>
      <c r="D34" s="447"/>
      <c r="E34" s="447"/>
      <c r="F34" s="447"/>
      <c r="G34" s="447"/>
      <c r="H34" s="447"/>
      <c r="I34" s="448"/>
      <c r="K34" s="218"/>
    </row>
    <row r="35" spans="2:11" s="16" customFormat="1" ht="24.95" customHeight="1" x14ac:dyDescent="0.15">
      <c r="B35" s="218"/>
      <c r="C35" s="22" t="s">
        <v>177</v>
      </c>
      <c r="D35" s="22"/>
      <c r="E35" s="41">
        <f>1/(1+$D$25)^(LEFT(E6,4)-LEFT($E$6,4))</f>
        <v>1</v>
      </c>
      <c r="F35" s="41">
        <f t="shared" ref="F35:I35" si="6">1/(1+$D$25)^(LEFT(F6,4)-LEFT($E$6,4))</f>
        <v>0.91304091208430094</v>
      </c>
      <c r="G35" s="41">
        <f t="shared" si="6"/>
        <v>0.83364370713973213</v>
      </c>
      <c r="H35" s="41">
        <f t="shared" si="6"/>
        <v>0.76115081072019886</v>
      </c>
      <c r="I35" s="41">
        <f t="shared" si="6"/>
        <v>0.69496183045367543</v>
      </c>
      <c r="K35" s="218"/>
    </row>
    <row r="36" spans="2:11" s="16" customFormat="1" ht="24.95" customHeight="1" x14ac:dyDescent="0.15">
      <c r="B36" s="218"/>
      <c r="C36" s="22" t="s">
        <v>178</v>
      </c>
      <c r="D36" s="22"/>
      <c r="E36" s="23">
        <f>E18*E35</f>
        <v>1292490.2770678895</v>
      </c>
      <c r="F36" s="23">
        <f t="shared" ref="F36:I36" si="7">F18*F35</f>
        <v>2609104.810400907</v>
      </c>
      <c r="G36" s="23">
        <f t="shared" si="7"/>
        <v>4130683.1702730092</v>
      </c>
      <c r="H36" s="23">
        <f t="shared" si="7"/>
        <v>4614121.4827379053</v>
      </c>
      <c r="I36" s="23">
        <f t="shared" si="7"/>
        <v>4201882.4180340748</v>
      </c>
      <c r="K36" s="218"/>
    </row>
    <row r="37" spans="2:11" s="16" customFormat="1" ht="24.95" customHeight="1" x14ac:dyDescent="0.15">
      <c r="B37" s="218"/>
      <c r="C37" s="22" t="s">
        <v>177</v>
      </c>
      <c r="D37" s="42">
        <f>1/(1+$D$25)^(LEFT(D21,4)-LEFT($E$6,4))</f>
        <v>0.63452858354119912</v>
      </c>
      <c r="E37" s="42">
        <f t="shared" ref="E37:J37" si="8">1/(1+$D$25)^(LEFT(E21,4)-LEFT($E$6,4))</f>
        <v>0.579350556660016</v>
      </c>
      <c r="F37" s="42">
        <f t="shared" si="8"/>
        <v>0.5289707606694084</v>
      </c>
      <c r="G37" s="42">
        <f t="shared" si="8"/>
        <v>0.48297194578752312</v>
      </c>
      <c r="H37" s="42">
        <f t="shared" si="8"/>
        <v>0.44097314589296965</v>
      </c>
      <c r="I37" s="42">
        <f t="shared" si="8"/>
        <v>0.40262652333080046</v>
      </c>
      <c r="J37" s="42">
        <f t="shared" si="8"/>
        <v>0.36761448809128511</v>
      </c>
      <c r="K37" s="218"/>
    </row>
    <row r="38" spans="2:11" s="16" customFormat="1" ht="24.95" customHeight="1" x14ac:dyDescent="0.15">
      <c r="B38" s="218"/>
      <c r="C38" s="22" t="s">
        <v>179</v>
      </c>
      <c r="D38" s="27">
        <f>D37*D22</f>
        <v>4181774.7054217737</v>
      </c>
      <c r="E38" s="27">
        <f t="shared" ref="E38:I38" si="9">E37*E22</f>
        <v>4161763.2163745975</v>
      </c>
      <c r="F38" s="27">
        <f t="shared" si="9"/>
        <v>4141847.4904237362</v>
      </c>
      <c r="G38" s="27">
        <f t="shared" si="9"/>
        <v>4122027.0693039116</v>
      </c>
      <c r="H38" s="27">
        <f t="shared" si="9"/>
        <v>4102301.4969428293</v>
      </c>
      <c r="I38" s="27">
        <f t="shared" si="9"/>
        <v>4082670.3194506862</v>
      </c>
      <c r="J38" s="27">
        <f>J37*J22</f>
        <v>4063133.0851097275</v>
      </c>
      <c r="K38" s="218"/>
    </row>
    <row r="39" spans="2:11" s="16" customFormat="1" ht="24.95" customHeight="1" x14ac:dyDescent="0.15">
      <c r="B39" s="218"/>
      <c r="C39" s="25"/>
      <c r="D39" s="25"/>
      <c r="E39" s="43"/>
      <c r="F39" s="43"/>
      <c r="G39" s="43"/>
      <c r="H39" s="43"/>
      <c r="I39" s="43"/>
      <c r="K39" s="218"/>
    </row>
    <row r="40" spans="2:11" s="16" customFormat="1" ht="24.95" customHeight="1" x14ac:dyDescent="0.15">
      <c r="B40" s="218"/>
      <c r="C40" s="449" t="s">
        <v>180</v>
      </c>
      <c r="D40" s="450"/>
      <c r="E40" s="451"/>
      <c r="F40" s="44">
        <f>(SUM(E36:I36)+SUM(D38:J38))/100000</f>
        <v>457.03799541541048</v>
      </c>
      <c r="G40" s="45"/>
      <c r="H40" s="45"/>
      <c r="I40" s="45"/>
      <c r="K40" s="218"/>
    </row>
    <row r="41" spans="2:11" s="16" customFormat="1" ht="24.95" customHeight="1" x14ac:dyDescent="0.15">
      <c r="B41" s="218"/>
      <c r="C41" s="449" t="s">
        <v>181</v>
      </c>
      <c r="D41" s="450"/>
      <c r="E41" s="451"/>
      <c r="F41" s="44">
        <f>J22*(1+D26)/(D25-D26)*J37/100000</f>
        <v>550.81487360064477</v>
      </c>
      <c r="G41" s="45"/>
      <c r="H41" s="45"/>
      <c r="I41" s="45"/>
      <c r="K41" s="218"/>
    </row>
    <row r="42" spans="2:11" s="16" customFormat="1" ht="24.95" customHeight="1" x14ac:dyDescent="0.15">
      <c r="B42" s="218"/>
      <c r="C42" s="449" t="s">
        <v>182</v>
      </c>
      <c r="D42" s="450"/>
      <c r="E42" s="451"/>
      <c r="F42" s="46">
        <f ca="1">(F40+F41)*((1+$D$25)^((G26-F26)/365))</f>
        <v>1005.3439695678913</v>
      </c>
      <c r="G42" s="45"/>
      <c r="H42" s="45"/>
      <c r="I42" s="45"/>
      <c r="K42" s="218"/>
    </row>
    <row r="43" spans="2:11" s="16" customFormat="1" ht="24.95" customHeight="1" x14ac:dyDescent="0.15">
      <c r="B43" s="218"/>
      <c r="C43" s="449" t="s">
        <v>183</v>
      </c>
      <c r="D43" s="450"/>
      <c r="E43" s="451"/>
      <c r="F43" s="46">
        <f ca="1">(BS!H47+BS!H48+BS!H38+BS!H41-BS!H30)*((1+$D$25)^((G26-F26)/365))/100000</f>
        <v>-38.238490248725569</v>
      </c>
      <c r="G43" s="45"/>
      <c r="H43" s="45"/>
      <c r="I43" s="45"/>
      <c r="K43" s="218"/>
    </row>
    <row r="44" spans="2:11" s="16" customFormat="1" ht="24.95" customHeight="1" x14ac:dyDescent="0.15">
      <c r="B44" s="218"/>
      <c r="C44" s="449" t="s">
        <v>184</v>
      </c>
      <c r="D44" s="450"/>
      <c r="E44" s="451"/>
      <c r="F44" s="46">
        <f ca="1">BS!H55*((1+$D$25)^((G26-F26)/365))/100000</f>
        <v>8.7909194041436517E-2</v>
      </c>
      <c r="G44" s="45"/>
      <c r="H44" s="45"/>
      <c r="I44" s="45"/>
      <c r="K44" s="218"/>
    </row>
    <row r="45" spans="2:11" s="16" customFormat="1" ht="24.95" customHeight="1" x14ac:dyDescent="0.15">
      <c r="B45" s="218"/>
      <c r="C45" s="449" t="s">
        <v>185</v>
      </c>
      <c r="D45" s="450"/>
      <c r="E45" s="451"/>
      <c r="F45" s="46">
        <f ca="1">F42-(F43+F44)</f>
        <v>1043.4945506225754</v>
      </c>
      <c r="G45" s="45"/>
      <c r="H45" s="45"/>
      <c r="I45" s="45"/>
      <c r="K45" s="218"/>
    </row>
    <row r="46" spans="2:11" s="16" customFormat="1" ht="24.95" customHeight="1" x14ac:dyDescent="0.15">
      <c r="B46" s="218"/>
      <c r="C46" s="449" t="s">
        <v>462</v>
      </c>
      <c r="D46" s="450"/>
      <c r="E46" s="451"/>
      <c r="F46" s="46">
        <f>F47*0.8988</f>
        <v>1514.4780000000001</v>
      </c>
      <c r="H46" s="175"/>
      <c r="I46" s="175"/>
      <c r="K46" s="218"/>
    </row>
    <row r="47" spans="2:11" s="16" customFormat="1" ht="24.95" customHeight="1" x14ac:dyDescent="0.15">
      <c r="B47" s="218"/>
      <c r="C47" s="449" t="s">
        <v>461</v>
      </c>
      <c r="D47" s="450"/>
      <c r="E47" s="451"/>
      <c r="F47" s="46">
        <v>1685</v>
      </c>
      <c r="G47" s="45"/>
      <c r="H47" s="45"/>
      <c r="I47" s="45"/>
      <c r="K47" s="218"/>
    </row>
    <row r="48" spans="2:11" s="16" customFormat="1" ht="24.95" customHeight="1" x14ac:dyDescent="0.15">
      <c r="B48" s="218"/>
      <c r="C48" s="452" t="s">
        <v>460</v>
      </c>
      <c r="D48" s="453"/>
      <c r="E48" s="454"/>
      <c r="F48" s="47">
        <f ca="1">F49*F45/F46</f>
        <v>21.910603329858802</v>
      </c>
      <c r="K48" s="218"/>
    </row>
    <row r="49" spans="1:11" s="16" customFormat="1" ht="24.95" customHeight="1" x14ac:dyDescent="0.15">
      <c r="B49" s="218"/>
      <c r="C49" s="449" t="s">
        <v>459</v>
      </c>
      <c r="D49" s="450"/>
      <c r="E49" s="451"/>
      <c r="F49" s="46">
        <v>31.8</v>
      </c>
      <c r="G49" s="48"/>
      <c r="H49" s="49"/>
      <c r="I49" s="18"/>
      <c r="K49" s="218"/>
    </row>
    <row r="50" spans="1:11" s="16" customFormat="1" ht="24.95" customHeight="1" x14ac:dyDescent="0.15">
      <c r="B50" s="218"/>
      <c r="K50" s="218"/>
    </row>
    <row r="51" spans="1:11" s="16" customFormat="1" ht="24.95" customHeight="1" x14ac:dyDescent="0.15">
      <c r="B51" s="218"/>
      <c r="C51" s="446" t="s">
        <v>186</v>
      </c>
      <c r="D51" s="447"/>
      <c r="E51" s="447"/>
      <c r="F51" s="447"/>
      <c r="G51" s="447"/>
      <c r="H51" s="448"/>
      <c r="K51" s="218"/>
    </row>
    <row r="52" spans="1:11" s="16" customFormat="1" ht="24.95" customHeight="1" x14ac:dyDescent="0.15">
      <c r="B52" s="218"/>
      <c r="C52" s="50" t="s">
        <v>187</v>
      </c>
      <c r="D52" s="455"/>
      <c r="E52" s="456"/>
      <c r="F52" s="456"/>
      <c r="G52" s="456"/>
      <c r="H52" s="457"/>
      <c r="K52" s="218"/>
    </row>
    <row r="53" spans="1:11" s="16" customFormat="1" ht="24.95" customHeight="1" x14ac:dyDescent="0.15">
      <c r="B53" s="218"/>
      <c r="C53" s="51">
        <f ca="1">F48</f>
        <v>21.910603329858802</v>
      </c>
      <c r="D53" s="52">
        <f>E53-0.5%</f>
        <v>9.9999999999999985E-3</v>
      </c>
      <c r="E53" s="52">
        <f>F53-0.5%</f>
        <v>1.4999999999999999E-2</v>
      </c>
      <c r="F53" s="52">
        <v>0.02</v>
      </c>
      <c r="G53" s="52">
        <f>F53+0.5%</f>
        <v>2.5000000000000001E-2</v>
      </c>
      <c r="H53" s="52">
        <f>G53+0.5%</f>
        <v>3.0000000000000002E-2</v>
      </c>
      <c r="K53" s="218"/>
    </row>
    <row r="54" spans="1:11" s="16" customFormat="1" ht="24.95" customHeight="1" x14ac:dyDescent="0.15">
      <c r="B54" s="218"/>
      <c r="C54" s="53">
        <f>C55-1%</f>
        <v>7.5241173494830477E-2</v>
      </c>
      <c r="D54" s="46">
        <v>27.650620956379043</v>
      </c>
      <c r="E54" s="46">
        <v>29.07709988137038</v>
      </c>
      <c r="F54" s="46">
        <v>30.761806290454693</v>
      </c>
      <c r="G54" s="46">
        <v>32.781836556824629</v>
      </c>
      <c r="H54" s="46">
        <v>35.248369446872253</v>
      </c>
      <c r="K54" s="218"/>
    </row>
    <row r="55" spans="1:11" s="16" customFormat="1" ht="24.95" customHeight="1" x14ac:dyDescent="0.15">
      <c r="B55" s="218"/>
      <c r="C55" s="53">
        <f>C56-1%</f>
        <v>8.5241173494830472E-2</v>
      </c>
      <c r="D55" s="46">
        <v>23.557195805279584</v>
      </c>
      <c r="E55" s="265">
        <v>24.523957244425464</v>
      </c>
      <c r="F55" s="265">
        <v>25.638901401226246</v>
      </c>
      <c r="G55" s="265">
        <v>26.938925643974624</v>
      </c>
      <c r="H55" s="46">
        <v>28.474285988493186</v>
      </c>
      <c r="J55" s="175"/>
      <c r="K55" s="218"/>
    </row>
    <row r="56" spans="1:11" s="16" customFormat="1" ht="24.95" customHeight="1" x14ac:dyDescent="0.15">
      <c r="B56" s="218"/>
      <c r="C56" s="53">
        <v>9.5241173494830467E-2</v>
      </c>
      <c r="D56" s="46">
        <v>20.457329272410483</v>
      </c>
      <c r="E56" s="265">
        <v>21.138687985958274</v>
      </c>
      <c r="F56" s="266">
        <v>21.910603329858802</v>
      </c>
      <c r="G56" s="265">
        <v>22.792413669172149</v>
      </c>
      <c r="H56" s="46">
        <v>23.809385639105642</v>
      </c>
      <c r="J56" s="175"/>
      <c r="K56" s="218"/>
    </row>
    <row r="57" spans="1:11" s="17" customFormat="1" ht="24.95" customHeight="1" x14ac:dyDescent="0.15">
      <c r="B57" s="177"/>
      <c r="C57" s="53">
        <f>C56+1%</f>
        <v>0.10524117349483046</v>
      </c>
      <c r="D57" s="46">
        <v>18.035544956245069</v>
      </c>
      <c r="E57" s="265">
        <v>18.530552656243842</v>
      </c>
      <c r="F57" s="265">
        <v>19.083631788122759</v>
      </c>
      <c r="G57" s="265">
        <v>19.705638019119242</v>
      </c>
      <c r="H57" s="46">
        <v>20.410312582108087</v>
      </c>
      <c r="J57" s="267"/>
      <c r="K57" s="177"/>
    </row>
    <row r="58" spans="1:11" s="17" customFormat="1" ht="24.95" customHeight="1" x14ac:dyDescent="0.15">
      <c r="B58" s="177"/>
      <c r="C58" s="53">
        <f>C57+1%</f>
        <v>0.11524117349483046</v>
      </c>
      <c r="D58" s="46">
        <v>16.096493675337431</v>
      </c>
      <c r="E58" s="46">
        <v>16.464949169760104</v>
      </c>
      <c r="F58" s="46">
        <v>16.872091240681407</v>
      </c>
      <c r="G58" s="46">
        <v>17.324350418922307</v>
      </c>
      <c r="H58" s="46">
        <v>17.829666020450052</v>
      </c>
      <c r="K58" s="177"/>
    </row>
    <row r="59" spans="1:11" ht="6" customHeight="1" x14ac:dyDescent="0.15">
      <c r="A59" s="55"/>
      <c r="B59" s="234"/>
      <c r="C59" s="234"/>
      <c r="D59" s="234"/>
      <c r="E59" s="234"/>
      <c r="F59" s="234"/>
      <c r="G59" s="234"/>
      <c r="H59" s="234"/>
      <c r="I59" s="234"/>
      <c r="J59" s="234"/>
      <c r="K59" s="234"/>
    </row>
    <row r="64" spans="1:11" x14ac:dyDescent="0.15">
      <c r="F64" s="473"/>
    </row>
    <row r="65" spans="6:6" x14ac:dyDescent="0.15">
      <c r="F65" s="473"/>
    </row>
  </sheetData>
  <mergeCells count="14">
    <mergeCell ref="C48:E48"/>
    <mergeCell ref="C49:E49"/>
    <mergeCell ref="C51:H51"/>
    <mergeCell ref="D52:H52"/>
    <mergeCell ref="C43:E43"/>
    <mergeCell ref="C44:E44"/>
    <mergeCell ref="C45:E45"/>
    <mergeCell ref="C46:E46"/>
    <mergeCell ref="C47:E47"/>
    <mergeCell ref="C24:G24"/>
    <mergeCell ref="C34:I34"/>
    <mergeCell ref="C40:E40"/>
    <mergeCell ref="C41:E41"/>
    <mergeCell ref="C42:E42"/>
  </mergeCells>
  <phoneticPr fontId="37" type="noConversion"/>
  <pageMargins left="0.7" right="0.7" top="0.75" bottom="0.75" header="0.3" footer="0.3"/>
  <pageSetup paperSize="9" orientation="portrait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B1:U30"/>
  <sheetViews>
    <sheetView showGridLines="0" zoomScale="85" zoomScaleNormal="85" workbookViewId="0">
      <pane ySplit="3" topLeftCell="A4" activePane="bottomLeft" state="frozen"/>
      <selection pane="bottomLeft" activeCell="Q16" sqref="Q16"/>
    </sheetView>
  </sheetViews>
  <sheetFormatPr defaultColWidth="9" defaultRowHeight="13.5" x14ac:dyDescent="0.15"/>
  <cols>
    <col min="1" max="1" width="4.125" customWidth="1"/>
    <col min="2" max="2" width="0.875" customWidth="1"/>
    <col min="3" max="3" width="23.375" customWidth="1"/>
    <col min="4" max="4" width="10.5" customWidth="1"/>
    <col min="5" max="5" width="16.125" customWidth="1"/>
    <col min="6" max="6" width="11.25" customWidth="1"/>
    <col min="7" max="11" width="10.375" customWidth="1"/>
    <col min="12" max="12" width="0.875" customWidth="1"/>
  </cols>
  <sheetData>
    <row r="1" spans="2:21" s="183" customFormat="1" ht="12" customHeight="1" x14ac:dyDescent="0.2">
      <c r="C1" s="235"/>
      <c r="F1" s="182"/>
    </row>
    <row r="2" spans="2:21" s="183" customFormat="1" ht="12" customHeight="1" x14ac:dyDescent="0.35">
      <c r="C2" s="235"/>
      <c r="F2" s="182"/>
      <c r="K2" s="239"/>
    </row>
    <row r="3" spans="2:21" s="183" customFormat="1" ht="12" customHeight="1" x14ac:dyDescent="0.2">
      <c r="C3" s="240"/>
      <c r="D3" s="241"/>
      <c r="E3" s="241"/>
      <c r="F3" s="241"/>
      <c r="G3" s="242"/>
      <c r="H3" s="242"/>
      <c r="I3" s="242"/>
      <c r="K3" s="187"/>
      <c r="L3" s="243"/>
      <c r="M3" s="242"/>
      <c r="N3" s="242"/>
      <c r="O3" s="242"/>
      <c r="P3" s="242"/>
      <c r="Q3" s="242"/>
      <c r="R3" s="242"/>
      <c r="S3" s="242"/>
      <c r="T3" s="242"/>
      <c r="U3" s="242"/>
    </row>
    <row r="4" spans="2:21" s="6" customFormat="1" ht="23.1" customHeight="1" x14ac:dyDescent="0.2">
      <c r="C4" s="7"/>
      <c r="D4" s="8"/>
      <c r="E4" s="8"/>
      <c r="F4" s="8"/>
      <c r="G4" s="9"/>
      <c r="H4" s="9"/>
      <c r="I4" s="9"/>
      <c r="K4" s="13"/>
      <c r="L4" s="13"/>
      <c r="M4" s="9"/>
      <c r="N4" s="9"/>
      <c r="O4" s="9"/>
      <c r="P4" s="9"/>
      <c r="Q4" s="9"/>
      <c r="R4" s="9"/>
      <c r="S4" s="9"/>
      <c r="T4" s="9"/>
      <c r="U4" s="9"/>
    </row>
    <row r="5" spans="2:21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2:21" ht="24.95" customHeight="1" x14ac:dyDescent="0.15">
      <c r="B6" s="188"/>
      <c r="C6" s="458" t="s">
        <v>188</v>
      </c>
      <c r="D6" s="459"/>
      <c r="E6" s="464"/>
      <c r="F6" s="465"/>
      <c r="G6" s="465"/>
      <c r="H6" s="465"/>
      <c r="I6" s="465"/>
      <c r="J6" s="465"/>
      <c r="K6" s="466"/>
      <c r="L6" s="188"/>
    </row>
    <row r="7" spans="2:21" ht="24.95" customHeight="1" x14ac:dyDescent="0.15">
      <c r="B7" s="188"/>
      <c r="C7" s="248" t="s">
        <v>165</v>
      </c>
      <c r="D7" s="5">
        <f>DCF估值!D25</f>
        <v>9.5241173494830467E-2</v>
      </c>
      <c r="E7" s="467"/>
      <c r="F7" s="468"/>
      <c r="G7" s="468"/>
      <c r="H7" s="468"/>
      <c r="I7" s="468"/>
      <c r="J7" s="468"/>
      <c r="K7" s="469"/>
      <c r="L7" s="188"/>
    </row>
    <row r="8" spans="2:21" ht="24.95" customHeight="1" x14ac:dyDescent="0.15">
      <c r="B8" s="188"/>
      <c r="C8" s="248" t="s">
        <v>167</v>
      </c>
      <c r="D8" s="5">
        <f>DCF估值!D26</f>
        <v>0.02</v>
      </c>
      <c r="E8" s="467"/>
      <c r="F8" s="468"/>
      <c r="G8" s="468"/>
      <c r="H8" s="468"/>
      <c r="I8" s="468"/>
      <c r="J8" s="468"/>
      <c r="K8" s="469"/>
      <c r="L8" s="188"/>
    </row>
    <row r="9" spans="2:21" ht="24.95" customHeight="1" x14ac:dyDescent="0.15">
      <c r="B9" s="188"/>
      <c r="C9" s="248" t="s">
        <v>168</v>
      </c>
      <c r="D9" s="5">
        <f>DCF估值!D27</f>
        <v>3.0599999999999999E-2</v>
      </c>
      <c r="E9" s="467"/>
      <c r="F9" s="468"/>
      <c r="G9" s="468"/>
      <c r="H9" s="468"/>
      <c r="I9" s="468"/>
      <c r="J9" s="468"/>
      <c r="K9" s="469"/>
      <c r="L9" s="188"/>
    </row>
    <row r="10" spans="2:21" ht="24.95" customHeight="1" x14ac:dyDescent="0.15">
      <c r="B10" s="188"/>
      <c r="C10" s="248" t="s">
        <v>169</v>
      </c>
      <c r="D10" s="5">
        <f>DCF估值!D28</f>
        <v>9.8314999999999986E-2</v>
      </c>
      <c r="E10" s="467"/>
      <c r="F10" s="468"/>
      <c r="G10" s="468"/>
      <c r="H10" s="468"/>
      <c r="I10" s="468"/>
      <c r="J10" s="468"/>
      <c r="K10" s="469"/>
      <c r="L10" s="188"/>
    </row>
    <row r="11" spans="2:21" ht="24.95" customHeight="1" x14ac:dyDescent="0.15">
      <c r="B11" s="188"/>
      <c r="C11" s="248" t="s">
        <v>170</v>
      </c>
      <c r="D11" s="5">
        <f>DCF估值!D29</f>
        <v>3.2099999999999997E-2</v>
      </c>
      <c r="E11" s="467"/>
      <c r="F11" s="468"/>
      <c r="G11" s="468"/>
      <c r="H11" s="468"/>
      <c r="I11" s="468"/>
      <c r="J11" s="468"/>
      <c r="K11" s="469"/>
      <c r="L11" s="188"/>
    </row>
    <row r="12" spans="2:21" ht="24.95" customHeight="1" x14ac:dyDescent="0.15">
      <c r="B12" s="188"/>
      <c r="C12" s="248" t="s">
        <v>171</v>
      </c>
      <c r="D12" s="5">
        <f>DCF估值!D30</f>
        <v>7.7899999999999997E-2</v>
      </c>
      <c r="E12" s="467"/>
      <c r="F12" s="468"/>
      <c r="G12" s="468"/>
      <c r="H12" s="468"/>
      <c r="I12" s="468"/>
      <c r="J12" s="468"/>
      <c r="K12" s="469"/>
      <c r="L12" s="188"/>
    </row>
    <row r="13" spans="2:21" ht="24.95" customHeight="1" x14ac:dyDescent="0.15">
      <c r="B13" s="188"/>
      <c r="C13" s="248" t="s">
        <v>172</v>
      </c>
      <c r="D13" s="10">
        <f>DCF估值!D31</f>
        <v>0.85</v>
      </c>
      <c r="E13" s="467"/>
      <c r="F13" s="468"/>
      <c r="G13" s="468"/>
      <c r="H13" s="468"/>
      <c r="I13" s="468"/>
      <c r="J13" s="468"/>
      <c r="K13" s="469"/>
      <c r="L13" s="188"/>
    </row>
    <row r="14" spans="2:21" ht="24.95" customHeight="1" x14ac:dyDescent="0.15">
      <c r="B14" s="188"/>
      <c r="C14" s="248" t="s">
        <v>175</v>
      </c>
      <c r="D14" s="5">
        <f>DCF估值!D32</f>
        <v>4.5393583477361284E-2</v>
      </c>
      <c r="E14" s="470"/>
      <c r="F14" s="471"/>
      <c r="G14" s="471"/>
      <c r="H14" s="471"/>
      <c r="I14" s="471"/>
      <c r="J14" s="471"/>
      <c r="K14" s="472"/>
      <c r="L14" s="188"/>
    </row>
    <row r="15" spans="2:21" ht="24.95" customHeight="1" x14ac:dyDescent="0.3">
      <c r="B15" s="188"/>
      <c r="C15" s="406"/>
      <c r="D15" s="407"/>
      <c r="E15" s="407"/>
      <c r="F15" s="407"/>
      <c r="G15" s="407"/>
      <c r="H15" s="407"/>
      <c r="I15" s="407"/>
      <c r="J15" s="407"/>
      <c r="K15" s="408"/>
      <c r="L15" s="188"/>
      <c r="Q15" s="14"/>
    </row>
    <row r="16" spans="2:21" ht="24.95" customHeight="1" x14ac:dyDescent="0.15">
      <c r="B16" s="188"/>
      <c r="C16" s="460" t="s">
        <v>189</v>
      </c>
      <c r="D16" s="461"/>
      <c r="E16" s="462"/>
      <c r="F16" s="458" t="s">
        <v>186</v>
      </c>
      <c r="G16" s="463"/>
      <c r="H16" s="463"/>
      <c r="I16" s="463"/>
      <c r="J16" s="463"/>
      <c r="K16" s="459"/>
      <c r="L16" s="188"/>
    </row>
    <row r="17" spans="2:12" ht="24.95" customHeight="1" x14ac:dyDescent="0.15">
      <c r="B17" s="188"/>
      <c r="C17" s="248" t="s">
        <v>190</v>
      </c>
      <c r="D17" s="174">
        <f ca="1">DCF估值!F42</f>
        <v>1005.3439695678913</v>
      </c>
      <c r="E17" s="11" t="s">
        <v>191</v>
      </c>
      <c r="F17" s="262" t="s">
        <v>187</v>
      </c>
      <c r="G17" s="144">
        <f>DCF估值!D53</f>
        <v>9.9999999999999985E-3</v>
      </c>
      <c r="H17" s="144">
        <f>DCF估值!E53</f>
        <v>1.4999999999999999E-2</v>
      </c>
      <c r="I17" s="144">
        <f>DCF估值!F53</f>
        <v>0.02</v>
      </c>
      <c r="J17" s="144">
        <f>DCF估值!G53</f>
        <v>2.5000000000000001E-2</v>
      </c>
      <c r="K17" s="144">
        <f>DCF估值!H53</f>
        <v>3.0000000000000002E-2</v>
      </c>
      <c r="L17" s="188"/>
    </row>
    <row r="18" spans="2:12" ht="24.95" customHeight="1" x14ac:dyDescent="0.15">
      <c r="B18" s="188"/>
      <c r="C18" s="248" t="s">
        <v>192</v>
      </c>
      <c r="D18" s="174">
        <f ca="1">DCF估值!F43</f>
        <v>-38.238490248725569</v>
      </c>
      <c r="E18" s="11" t="s">
        <v>191</v>
      </c>
      <c r="F18" s="144">
        <f>DCF估值!C54</f>
        <v>7.5241173494830477E-2</v>
      </c>
      <c r="G18" s="12">
        <f>DCF估值!D54</f>
        <v>27.650620956379043</v>
      </c>
      <c r="H18" s="12">
        <f>DCF估值!E54</f>
        <v>29.07709988137038</v>
      </c>
      <c r="I18" s="12">
        <f>DCF估值!F54</f>
        <v>30.761806290454693</v>
      </c>
      <c r="J18" s="12">
        <f>DCF估值!G54</f>
        <v>32.781836556824629</v>
      </c>
      <c r="K18" s="12">
        <f>DCF估值!H54</f>
        <v>35.248369446872253</v>
      </c>
      <c r="L18" s="188"/>
    </row>
    <row r="19" spans="2:12" ht="24.95" customHeight="1" x14ac:dyDescent="0.15">
      <c r="B19" s="188"/>
      <c r="C19" s="248" t="s">
        <v>193</v>
      </c>
      <c r="D19" s="174">
        <f ca="1">DCF估值!F44</f>
        <v>8.7909194041436517E-2</v>
      </c>
      <c r="E19" s="11" t="s">
        <v>191</v>
      </c>
      <c r="F19" s="144">
        <f>DCF估值!C55</f>
        <v>8.5241173494830472E-2</v>
      </c>
      <c r="G19" s="12">
        <f>DCF估值!D55</f>
        <v>23.557195805279584</v>
      </c>
      <c r="H19" s="263">
        <f>DCF估值!E55</f>
        <v>24.523957244425464</v>
      </c>
      <c r="I19" s="263">
        <f>DCF估值!F55</f>
        <v>25.638901401226246</v>
      </c>
      <c r="J19" s="263">
        <f>DCF估值!G55</f>
        <v>26.938925643974624</v>
      </c>
      <c r="K19" s="12">
        <f>DCF估值!H55</f>
        <v>28.474285988493186</v>
      </c>
      <c r="L19" s="188"/>
    </row>
    <row r="20" spans="2:12" ht="24.95" customHeight="1" x14ac:dyDescent="0.15">
      <c r="B20" s="188"/>
      <c r="C20" s="248" t="s">
        <v>194</v>
      </c>
      <c r="D20" s="174">
        <f ca="1">DCF估值!F45</f>
        <v>1043.4945506225754</v>
      </c>
      <c r="E20" s="11" t="s">
        <v>191</v>
      </c>
      <c r="F20" s="144">
        <f>DCF估值!C56</f>
        <v>9.5241173494830467E-2</v>
      </c>
      <c r="G20" s="12">
        <f>DCF估值!D56</f>
        <v>20.457329272410483</v>
      </c>
      <c r="H20" s="263">
        <f>DCF估值!E56</f>
        <v>21.138687985958274</v>
      </c>
      <c r="I20" s="264">
        <f>DCF估值!F56</f>
        <v>21.910603329858802</v>
      </c>
      <c r="J20" s="263">
        <f>DCF估值!G56</f>
        <v>22.792413669172149</v>
      </c>
      <c r="K20" s="12">
        <f>DCF估值!H56</f>
        <v>23.809385639105642</v>
      </c>
      <c r="L20" s="188"/>
    </row>
    <row r="21" spans="2:12" ht="24.95" customHeight="1" x14ac:dyDescent="0.15">
      <c r="B21" s="188"/>
      <c r="C21" s="249" t="s">
        <v>195</v>
      </c>
      <c r="D21" s="174">
        <f ca="1">DCF估值!F48</f>
        <v>21.910603329858802</v>
      </c>
      <c r="E21" s="11" t="s">
        <v>196</v>
      </c>
      <c r="F21" s="144">
        <f>DCF估值!C57</f>
        <v>0.10524117349483046</v>
      </c>
      <c r="G21" s="12">
        <f>DCF估值!D57</f>
        <v>18.035544956245069</v>
      </c>
      <c r="H21" s="263">
        <f>DCF估值!E57</f>
        <v>18.530552656243842</v>
      </c>
      <c r="I21" s="263">
        <f>DCF估值!F57</f>
        <v>19.083631788122759</v>
      </c>
      <c r="J21" s="263">
        <f>DCF估值!G57</f>
        <v>19.705638019119242</v>
      </c>
      <c r="K21" s="12">
        <f>DCF估值!H57</f>
        <v>20.410312582108087</v>
      </c>
      <c r="L21" s="188"/>
    </row>
    <row r="22" spans="2:12" ht="24.75" customHeight="1" x14ac:dyDescent="0.15">
      <c r="B22" s="188"/>
      <c r="C22" s="248" t="s">
        <v>197</v>
      </c>
      <c r="D22" s="174">
        <f>DCF估值!F49</f>
        <v>31.8</v>
      </c>
      <c r="E22" s="11" t="s">
        <v>196</v>
      </c>
      <c r="F22" s="144">
        <f>DCF估值!C58</f>
        <v>0.11524117349483046</v>
      </c>
      <c r="G22" s="12">
        <f>DCF估值!D58</f>
        <v>16.096493675337431</v>
      </c>
      <c r="H22" s="12">
        <f>DCF估值!E58</f>
        <v>16.464949169760104</v>
      </c>
      <c r="I22" s="12">
        <f>DCF估值!F58</f>
        <v>16.872091240681407</v>
      </c>
      <c r="J22" s="12">
        <f>DCF估值!G58</f>
        <v>17.324350418922307</v>
      </c>
      <c r="K22" s="12">
        <f>DCF估值!H58</f>
        <v>17.829666020450052</v>
      </c>
      <c r="L22" s="188"/>
    </row>
    <row r="23" spans="2:12" ht="6" customHeight="1" x14ac:dyDescent="0.15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</row>
    <row r="28" spans="2:12" x14ac:dyDescent="0.15">
      <c r="J28">
        <v>0.80176567117852415</v>
      </c>
    </row>
    <row r="30" spans="2:12" x14ac:dyDescent="0.15">
      <c r="I30" s="294">
        <f>J19/J28</f>
        <v>33.599499969082991</v>
      </c>
      <c r="J30" s="294">
        <f>H21/J28</f>
        <v>23.112180182278919</v>
      </c>
    </row>
  </sheetData>
  <mergeCells count="5">
    <mergeCell ref="C6:D6"/>
    <mergeCell ref="C15:K15"/>
    <mergeCell ref="C16:E16"/>
    <mergeCell ref="F16:K16"/>
    <mergeCell ref="E6:K14"/>
  </mergeCells>
  <phoneticPr fontId="3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使用说明</vt:lpstr>
      <vt:lpstr>Sheet1</vt:lpstr>
      <vt:lpstr>业务模型</vt:lpstr>
      <vt:lpstr>利润表</vt:lpstr>
      <vt:lpstr>资产负债表</vt:lpstr>
      <vt:lpstr>现金流量表</vt:lpstr>
      <vt:lpstr>资产负债假设</vt:lpstr>
      <vt:lpstr>资本开支假设</vt:lpstr>
      <vt:lpstr>BS</vt:lpstr>
      <vt:lpstr>CS</vt:lpstr>
      <vt:lpstr>IS</vt:lpstr>
      <vt:lpstr>DCF估值</vt:lpstr>
      <vt:lpstr>DCF估值结果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聂国娜</cp:lastModifiedBy>
  <dcterms:created xsi:type="dcterms:W3CDTF">2006-09-16T00:00:00Z</dcterms:created>
  <dcterms:modified xsi:type="dcterms:W3CDTF">2019-12-20T11:12:44Z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